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hidePivotFieldList="1"/>
  <mc:AlternateContent xmlns:mc="http://schemas.openxmlformats.org/markup-compatibility/2006">
    <mc:Choice Requires="x15">
      <x15ac:absPath xmlns:x15ac="http://schemas.microsoft.com/office/spreadsheetml/2010/11/ac" url="https://stulsbuac.sharepoint.com/sites/msteams_ce61ca/Shared Documents/General/US Loans/7.2024-25/"/>
    </mc:Choice>
  </mc:AlternateContent>
  <xr:revisionPtr revIDLastSave="268" documentId="13_ncr:40009_{DC9AC824-8AD3-4A18-A956-64E94FE69221}" xr6:coauthVersionLast="47" xr6:coauthVersionMax="47" xr10:uidLastSave="{5DDCBA5D-5CD8-4692-A64C-BD759ACA85C4}"/>
  <bookViews>
    <workbookView xWindow="1875" yWindow="1995" windowWidth="21600" windowHeight="11025" xr2:uid="{00000000-000D-0000-FFFF-FFFF00000000}"/>
  </bookViews>
  <sheets>
    <sheet name="Introduction" sheetId="11" r:id="rId1"/>
    <sheet name="Cost of Attendance" sheetId="1" r:id="rId2"/>
    <sheet name="Checklist" sheetId="4" r:id="rId3"/>
    <sheet name="School DATA" sheetId="14" state="hidden" r:id="rId4"/>
    <sheet name="Visa Letter" sheetId="10" r:id="rId5"/>
    <sheet name="Private Loan Letter" sheetId="13" r:id="rId6"/>
    <sheet name="Basis of Costs" sheetId="12" state="hidden" r:id="rId7"/>
  </sheets>
  <definedNames>
    <definedName name="_xlnm._FilterDatabase" localSheetId="1" hidden="1">'Cost of Attendance'!$J$9:$J$10</definedName>
    <definedName name="_xlnm._FilterDatabase" localSheetId="3" hidden="1">'School DATA'!#REF!</definedName>
    <definedName name="_xlnm.Print_Area" localSheetId="1">'Cost of Attendance'!$A$1:$F$95</definedName>
    <definedName name="_xlnm.Print_Area" localSheetId="4">'Visa Letter'!$A$1:$I$63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 l="1"/>
  <c r="M13" i="1"/>
  <c r="E11" i="14" l="1"/>
  <c r="H45" i="14" l="1"/>
  <c r="I20" i="14"/>
  <c r="M47" i="1" s="1"/>
  <c r="I23" i="14"/>
  <c r="M48" i="1" s="1"/>
  <c r="C4" i="1"/>
  <c r="A12" i="13" s="1"/>
  <c r="E6" i="1"/>
  <c r="E7" i="1"/>
  <c r="E8" i="1"/>
  <c r="I43" i="14"/>
  <c r="D7" i="1"/>
  <c r="G50" i="1" s="1"/>
  <c r="G51" i="1" s="1"/>
  <c r="G52" i="1" s="1"/>
  <c r="G53" i="1" s="1"/>
  <c r="G54" i="1" s="1"/>
  <c r="G55" i="1" s="1"/>
  <c r="A41" i="10"/>
  <c r="A42" i="10"/>
  <c r="C35" i="1"/>
  <c r="C37" i="1"/>
  <c r="C36" i="1"/>
  <c r="C33" i="1"/>
  <c r="L13" i="1"/>
  <c r="M15" i="1" s="1"/>
  <c r="A43" i="10" s="1"/>
  <c r="A1" i="13"/>
  <c r="A2" i="13"/>
  <c r="A3" i="13"/>
  <c r="A4" i="13"/>
  <c r="A5" i="13"/>
  <c r="A6" i="13"/>
  <c r="B17" i="13"/>
  <c r="B18" i="13"/>
  <c r="B19" i="13"/>
  <c r="A45" i="13"/>
  <c r="B52" i="13"/>
  <c r="C7" i="4"/>
  <c r="C8" i="4"/>
  <c r="C9" i="4"/>
  <c r="C10" i="4"/>
  <c r="C11" i="4"/>
  <c r="C12" i="4"/>
  <c r="A17" i="4"/>
  <c r="A18" i="4"/>
  <c r="C18" i="4"/>
  <c r="C21" i="4"/>
  <c r="A23" i="4"/>
  <c r="C23" i="4"/>
  <c r="A24" i="4"/>
  <c r="C24" i="4"/>
  <c r="C27" i="4"/>
  <c r="C28" i="4"/>
  <c r="A1" i="10"/>
  <c r="A2" i="10"/>
  <c r="A3" i="10"/>
  <c r="A4" i="10"/>
  <c r="A5" i="10"/>
  <c r="A6" i="10"/>
  <c r="B17" i="10"/>
  <c r="B18" i="10"/>
  <c r="B19" i="10"/>
  <c r="A53" i="10"/>
  <c r="B60" i="10"/>
  <c r="E7" i="14"/>
  <c r="D56" i="14" s="1"/>
  <c r="J7" i="14"/>
  <c r="D9" i="1"/>
  <c r="I13" i="14"/>
  <c r="I16" i="14"/>
  <c r="E18" i="14"/>
  <c r="E22" i="14" s="1"/>
  <c r="E19" i="14"/>
  <c r="E20" i="14"/>
  <c r="E21" i="14"/>
  <c r="E23" i="14"/>
  <c r="I26" i="14"/>
  <c r="D41" i="14"/>
  <c r="C56" i="14"/>
  <c r="C57" i="14" s="1"/>
  <c r="D57" i="14"/>
  <c r="D10" i="1"/>
  <c r="J42" i="1" s="1"/>
  <c r="J13" i="1"/>
  <c r="B27" i="13" s="1"/>
  <c r="J14" i="1"/>
  <c r="J15" i="1"/>
  <c r="M16" i="1"/>
  <c r="N16" i="1" s="1"/>
  <c r="B44" i="10" s="1"/>
  <c r="G23" i="1"/>
  <c r="H23" i="1"/>
  <c r="I23" i="1"/>
  <c r="G24" i="1"/>
  <c r="H24" i="1"/>
  <c r="I24" i="1"/>
  <c r="G25" i="1"/>
  <c r="H25" i="1"/>
  <c r="I25" i="1"/>
  <c r="G26" i="1"/>
  <c r="H26" i="1"/>
  <c r="I26" i="1"/>
  <c r="G27" i="1"/>
  <c r="H27" i="1"/>
  <c r="I27" i="1"/>
  <c r="K27" i="1"/>
  <c r="L27" i="1"/>
  <c r="M27" i="1"/>
  <c r="B30" i="1"/>
  <c r="C30" i="1"/>
  <c r="B31" i="1"/>
  <c r="E31" i="1"/>
  <c r="E32" i="1"/>
  <c r="I32" i="1"/>
  <c r="B33" i="1"/>
  <c r="E33" i="1"/>
  <c r="I33" i="1"/>
  <c r="A34" i="1"/>
  <c r="E34" i="1"/>
  <c r="I34" i="1"/>
  <c r="A35" i="1"/>
  <c r="I35" i="1"/>
  <c r="I36" i="1"/>
  <c r="B41" i="1"/>
  <c r="B42" i="1"/>
  <c r="B43" i="1"/>
  <c r="B44" i="1"/>
  <c r="M44" i="1"/>
  <c r="B45" i="1"/>
  <c r="M45" i="1"/>
  <c r="B46" i="1"/>
  <c r="M46" i="1"/>
  <c r="C47" i="1"/>
  <c r="D47" i="1"/>
  <c r="C48" i="1"/>
  <c r="C49" i="1"/>
  <c r="C50" i="1"/>
  <c r="I50" i="1"/>
  <c r="C51" i="1"/>
  <c r="I51" i="1"/>
  <c r="C52" i="1"/>
  <c r="I52" i="1"/>
  <c r="L52" i="1"/>
  <c r="M52" i="1"/>
  <c r="C53" i="1"/>
  <c r="I53" i="1"/>
  <c r="L53" i="1"/>
  <c r="M53" i="1"/>
  <c r="C54" i="1"/>
  <c r="L54" i="1"/>
  <c r="M54" i="1"/>
  <c r="C55" i="1"/>
  <c r="C56" i="1"/>
  <c r="C57" i="1"/>
  <c r="C58" i="1"/>
  <c r="C59" i="1"/>
  <c r="K60" i="1"/>
  <c r="D68" i="1"/>
  <c r="J77" i="1"/>
  <c r="G80" i="1" s="1"/>
  <c r="C80" i="1"/>
  <c r="I82" i="1"/>
  <c r="M42" i="1" l="1"/>
  <c r="J16" i="14"/>
  <c r="H47" i="14" s="1"/>
  <c r="H48" i="14" s="1"/>
  <c r="C69" i="1"/>
  <c r="G32" i="1"/>
  <c r="H32" i="1" s="1"/>
  <c r="H61" i="1" s="1"/>
  <c r="D48" i="1" s="1"/>
  <c r="A46" i="1"/>
  <c r="E46" i="1" s="1"/>
  <c r="K42" i="1"/>
  <c r="K43" i="1" s="1"/>
  <c r="K44" i="1" s="1"/>
  <c r="K45" i="1" s="1"/>
  <c r="K46" i="1" s="1"/>
  <c r="C92" i="1"/>
  <c r="H71" i="1"/>
  <c r="G28" i="1"/>
  <c r="K62" i="1" s="1"/>
  <c r="I28" i="1"/>
  <c r="C85" i="1"/>
  <c r="C93" i="1" s="1"/>
  <c r="M43" i="1"/>
  <c r="I55" i="1"/>
  <c r="D58" i="1" s="1"/>
  <c r="E25" i="14"/>
  <c r="A12" i="10"/>
  <c r="N53" i="1"/>
  <c r="O53" i="1" s="1"/>
  <c r="B83" i="1" s="1"/>
  <c r="B92" i="1" s="1"/>
  <c r="N54" i="1"/>
  <c r="O54" i="1" s="1"/>
  <c r="B85" i="1" s="1"/>
  <c r="B93" i="1" s="1"/>
  <c r="N52" i="1"/>
  <c r="O52" i="1" s="1"/>
  <c r="B82" i="1" s="1"/>
  <c r="B91" i="1" s="1"/>
  <c r="B29" i="10"/>
  <c r="E57" i="14"/>
  <c r="J43" i="1"/>
  <c r="J44" i="1" s="1"/>
  <c r="J45" i="1" s="1"/>
  <c r="J46" i="1" s="1"/>
  <c r="A34" i="13"/>
  <c r="G43" i="1"/>
  <c r="G42" i="1"/>
  <c r="E56" i="14"/>
  <c r="E24" i="14"/>
  <c r="J16" i="1"/>
  <c r="B30" i="10" s="1"/>
  <c r="B28" i="13" l="1"/>
  <c r="C89" i="1"/>
  <c r="C74" i="1"/>
  <c r="C72" i="1"/>
  <c r="C76" i="1"/>
  <c r="C71" i="1"/>
  <c r="C82" i="1" s="1"/>
  <c r="C91" i="1" s="1"/>
  <c r="L42" i="1"/>
  <c r="L43" i="1" s="1"/>
  <c r="L44" i="1" s="1"/>
  <c r="L45" i="1" s="1"/>
  <c r="L46" i="1" s="1"/>
  <c r="I46" i="1" s="1"/>
  <c r="G33" i="1"/>
  <c r="H33" i="1" s="1"/>
  <c r="E68" i="1"/>
  <c r="H49" i="14"/>
  <c r="H5" i="1" s="1"/>
  <c r="G44" i="1"/>
  <c r="G34" i="1" l="1"/>
  <c r="G36" i="1" s="1"/>
  <c r="H36" i="1" s="1"/>
  <c r="I45" i="1"/>
  <c r="I44" i="1"/>
  <c r="H43" i="1"/>
  <c r="H42" i="1"/>
  <c r="L47" i="1"/>
  <c r="K47" i="1" s="1"/>
  <c r="I42" i="1"/>
  <c r="I43" i="1"/>
  <c r="H50" i="14"/>
  <c r="H51" i="14" s="1"/>
  <c r="H6" i="1" s="1"/>
  <c r="G45" i="1"/>
  <c r="H44" i="1"/>
  <c r="H64" i="1" s="1"/>
  <c r="H62" i="1" l="1"/>
  <c r="D49" i="1" s="1"/>
  <c r="H63" i="1"/>
  <c r="D50" i="1" s="1"/>
  <c r="G35" i="1"/>
  <c r="H35" i="1" s="1"/>
  <c r="H34" i="1"/>
  <c r="L48" i="1"/>
  <c r="K48" i="1" s="1"/>
  <c r="H67" i="1" s="1"/>
  <c r="D54" i="1" s="1"/>
  <c r="D51" i="1"/>
  <c r="H45" i="1"/>
  <c r="H65" i="1" s="1"/>
  <c r="D52" i="1" s="1"/>
  <c r="G46" i="1"/>
  <c r="H46" i="1" s="1"/>
  <c r="H66" i="1" s="1"/>
  <c r="D53" i="1" s="1"/>
  <c r="I38" i="1" l="1"/>
  <c r="H69" i="1" s="1"/>
  <c r="D56" i="1" s="1"/>
  <c r="H68" i="1"/>
  <c r="C79" i="1" l="1"/>
  <c r="D55" i="1"/>
  <c r="C78" i="1"/>
  <c r="H70" i="1"/>
  <c r="D57" i="1" l="1"/>
  <c r="G79" i="1"/>
  <c r="C73" i="1" s="1"/>
  <c r="H72" i="1"/>
  <c r="K59" i="1" l="1"/>
  <c r="K61" i="1" s="1"/>
  <c r="D59" i="1"/>
  <c r="K63" i="1" l="1"/>
  <c r="H77" i="1" l="1"/>
  <c r="G90" i="1"/>
  <c r="L66" i="1"/>
  <c r="N61" i="1"/>
  <c r="A82" i="1" l="1"/>
  <c r="D82" i="1" s="1"/>
  <c r="H90" i="1"/>
  <c r="E71" i="1"/>
  <c r="M63" i="1"/>
  <c r="L65" i="1" s="1"/>
  <c r="L67" i="1" s="1"/>
  <c r="D71" i="1"/>
  <c r="N65" i="1" l="1"/>
  <c r="G91" i="1"/>
  <c r="H78" i="1"/>
  <c r="K72" i="1"/>
  <c r="E82" i="1"/>
  <c r="F85" i="1"/>
  <c r="B35" i="10"/>
  <c r="D72" i="1" l="1"/>
  <c r="M67" i="1"/>
  <c r="K70" i="1" s="1"/>
  <c r="E72" i="1"/>
  <c r="H91" i="1"/>
  <c r="A83" i="1"/>
  <c r="D83" i="1" s="1"/>
  <c r="H80" i="1" l="1"/>
  <c r="J82" i="1" s="1"/>
  <c r="H82" i="1" s="1"/>
  <c r="K74" i="1"/>
  <c r="G93" i="1" s="1"/>
  <c r="F86" i="1"/>
  <c r="B36" i="10"/>
  <c r="E83" i="1"/>
  <c r="G82" i="1" l="1"/>
  <c r="G92" i="1"/>
  <c r="G94" i="1" s="1"/>
  <c r="A86" i="1" s="1"/>
  <c r="D75" i="1"/>
  <c r="H93" i="1"/>
  <c r="A85" i="1"/>
  <c r="D85" i="1" s="1"/>
  <c r="D74" i="1"/>
  <c r="H83" i="1"/>
  <c r="D76" i="1" s="1"/>
  <c r="H92" i="1" l="1"/>
  <c r="E84" i="1" s="1"/>
  <c r="D84" i="1"/>
  <c r="D86" i="1" s="1"/>
  <c r="A84" i="1"/>
  <c r="C75" i="1"/>
  <c r="C84" i="1"/>
  <c r="B37" i="10"/>
  <c r="F87" i="1"/>
  <c r="E85" i="1"/>
  <c r="E86" i="1" l="1"/>
  <c r="E89" i="1" s="1"/>
  <c r="H94" i="1"/>
  <c r="N13" i="1"/>
  <c r="N14" i="1"/>
  <c r="B42" i="10" s="1"/>
  <c r="B38" i="10"/>
  <c r="C87" i="1"/>
  <c r="F88" i="1"/>
  <c r="N15" i="1"/>
  <c r="B43" i="10" s="1"/>
  <c r="C88" i="1"/>
  <c r="O15" i="1" l="1"/>
  <c r="C43" i="10" s="1"/>
  <c r="O13" i="1"/>
  <c r="B31" i="13"/>
  <c r="B34" i="13" s="1"/>
  <c r="B38" i="13" s="1"/>
  <c r="O14" i="1"/>
  <c r="C42" i="10" s="1"/>
  <c r="N17" i="1"/>
  <c r="B41" i="10"/>
  <c r="B45" i="10" s="1"/>
  <c r="O17" i="1" l="1"/>
  <c r="C38" i="10" s="1"/>
  <c r="C41" i="10"/>
  <c r="C46" i="10" s="1"/>
  <c r="B46" i="10"/>
</calcChain>
</file>

<file path=xl/sharedStrings.xml><?xml version="1.0" encoding="utf-8"?>
<sst xmlns="http://schemas.openxmlformats.org/spreadsheetml/2006/main" count="537" uniqueCount="456">
  <si>
    <t>Cost of Attendance - How to use this spreadsheet</t>
  </si>
  <si>
    <t>This spreadsheet is to help you and us</t>
  </si>
  <si>
    <t>a. To make the process as speedy and as simple as possible</t>
  </si>
  <si>
    <t>b. To cut out the risk of your application being rejected and you having to start again</t>
  </si>
  <si>
    <t>You should also use the manual from our website to see the order in which you need to do each stage of your application</t>
  </si>
  <si>
    <t>There is nothing which tells the school that everything the applicant needs to do has been completed.</t>
  </si>
  <si>
    <t>There is nothing which tells the applicant that everything they need to do has been completed.</t>
  </si>
  <si>
    <t>Information sent by the US Dept of Ed to schools also includes all those who may not apply or enrol.</t>
  </si>
  <si>
    <t>There are sets of documents which we have to receive before we can even start to certify or complete your loans</t>
  </si>
  <si>
    <t>You must complete and send us the spreadsheet "Cost of Attendance" tab</t>
  </si>
  <si>
    <t>It is used to help you and the school in several ways</t>
  </si>
  <si>
    <t>1. you tell us what we need to know about you before we can start to process your application (Section 1)</t>
  </si>
  <si>
    <t>2. you can re-calculate your costs (Sections 2 &amp; 3) and if needed you can change our values shown in blue</t>
  </si>
  <si>
    <t>3. it calculates how much you need and are eligible to borrow (Section 4)</t>
  </si>
  <si>
    <t>4. it tells you whether the school will accept the costs you have proposed (Section 5)</t>
  </si>
  <si>
    <t>5. It tells you how much of your loan will be retained by the government as origination fee</t>
  </si>
  <si>
    <t>6. It calculates the cost of the originations fees and increases the PLUS loan to cover them</t>
  </si>
  <si>
    <t>6. you tell us how much you want to borrow (Section 6) You adjust the figures shown in blue</t>
  </si>
  <si>
    <t>You must also complete the Checklist</t>
  </si>
  <si>
    <r>
      <t xml:space="preserve">The checklist helps you ensure that everything needed has been completed for us to process your application; </t>
    </r>
    <r>
      <rPr>
        <b/>
        <u/>
        <sz val="10"/>
        <color indexed="10"/>
        <rFont val="Times New Roman"/>
        <family val="1"/>
      </rPr>
      <t>without it nothing can be processed</t>
    </r>
  </si>
  <si>
    <t>The checklist will tell you the consequence of anything missing</t>
  </si>
  <si>
    <t>If anything is missing or incomplete, your application will be rejected.</t>
  </si>
  <si>
    <t>For your information …</t>
  </si>
  <si>
    <t>To ensure that your application is as smooth as possible, you must complete the Cost of Attendance spreadsheet and the checklist</t>
  </si>
  <si>
    <r>
      <t xml:space="preserve">When we will receive this spreadsheet - </t>
    </r>
    <r>
      <rPr>
        <b/>
        <u/>
        <sz val="10"/>
        <color indexed="10"/>
        <rFont val="Times New Roman"/>
        <family val="1"/>
      </rPr>
      <t>and ALL the required attachments</t>
    </r>
    <r>
      <rPr>
        <b/>
        <sz val="10"/>
        <color indexed="12"/>
        <rFont val="Times New Roman"/>
        <family val="1"/>
      </rPr>
      <t xml:space="preserve"> - that is our trigger that you have done everything for us to start on your loan</t>
    </r>
  </si>
  <si>
    <t>If anything on the checklist is missing we will not be able to start to process your application</t>
  </si>
  <si>
    <t>It  will not be the school's decision to reject your application or to process your loan with things missing</t>
  </si>
  <si>
    <t>If anything on the checklist or spreadsheet is missing or untrue your application will be rejected by the ED Dept's systems</t>
  </si>
  <si>
    <t>Cost of Attendance</t>
  </si>
  <si>
    <t>v.200505</t>
  </si>
  <si>
    <t>&amp; Loan Calculation</t>
  </si>
  <si>
    <t>RETAIL (Main Street) RATE - NOT INTERBANK RATE</t>
  </si>
  <si>
    <t>Max CoA before Interview</t>
  </si>
  <si>
    <t>This form and exchange rates revised</t>
  </si>
  <si>
    <t>Max Loan after grossing up for Fees adjustments</t>
  </si>
  <si>
    <t>Worst possible rate for Retail US Dollar Rate - best guess</t>
  </si>
  <si>
    <t>Next review date for Exchange Rate</t>
  </si>
  <si>
    <t>Depend</t>
  </si>
  <si>
    <t>Choice</t>
  </si>
  <si>
    <t>Year</t>
  </si>
  <si>
    <t>Requests</t>
  </si>
  <si>
    <t>No of Weeks for Undergraduates</t>
  </si>
  <si>
    <t>I</t>
  </si>
  <si>
    <t>N</t>
  </si>
  <si>
    <t>Request</t>
  </si>
  <si>
    <t>No of Weeks for Postgraduates</t>
  </si>
  <si>
    <t>D</t>
  </si>
  <si>
    <t>Y</t>
  </si>
  <si>
    <t>Allow</t>
  </si>
  <si>
    <t>3 or above</t>
  </si>
  <si>
    <t>ONLY ENTER DATES</t>
  </si>
  <si>
    <t>COMPLETE THE YELLOW BOXES ONLY</t>
  </si>
  <si>
    <t>Private Loan</t>
  </si>
  <si>
    <t>STANDING DATA</t>
  </si>
  <si>
    <t>Loan Dates</t>
  </si>
  <si>
    <t>DISBURSEMENTS</t>
  </si>
  <si>
    <t>Disburse Dates</t>
  </si>
  <si>
    <t>VALUES ARE AUTOMATIC</t>
  </si>
  <si>
    <t xml:space="preserve"> Details about you</t>
  </si>
  <si>
    <t>Government Loan</t>
  </si>
  <si>
    <t>Undergrads</t>
  </si>
  <si>
    <t>Start</t>
  </si>
  <si>
    <t>Family Name (Surname)</t>
  </si>
  <si>
    <t>surname - family name</t>
  </si>
  <si>
    <t>End</t>
  </si>
  <si>
    <t>put 2nd date</t>
  </si>
  <si>
    <t>Given Name (Forename)</t>
  </si>
  <si>
    <t>forename - first name(s)</t>
  </si>
  <si>
    <t>Postgrads</t>
  </si>
  <si>
    <t>put 3rd date or blank</t>
  </si>
  <si>
    <t>For non UG unless PHD is Yes</t>
  </si>
  <si>
    <t>Address Line 1</t>
  </si>
  <si>
    <t>Address Line 2</t>
  </si>
  <si>
    <t>sub entitled, conditions are per cell</t>
  </si>
  <si>
    <t>Check only BA or PHD is Y not both</t>
  </si>
  <si>
    <t>Address Line 3</t>
  </si>
  <si>
    <t>inc BA, UG/PG, porev degree,yr</t>
  </si>
  <si>
    <t>Address Line 4</t>
  </si>
  <si>
    <t>but not dependency</t>
  </si>
  <si>
    <t>Zipcode / Postcode</t>
  </si>
  <si>
    <t>postcode/zipcode</t>
  </si>
  <si>
    <t>tot below is max</t>
  </si>
  <si>
    <t>Email</t>
  </si>
  <si>
    <t>email address</t>
  </si>
  <si>
    <t>MAXIMUM LOAN LEVELS FOR THIS STU</t>
  </si>
  <si>
    <t>MAX THIS STU</t>
  </si>
  <si>
    <t>MAXIMUM LOAN LEVELS AVAILABLE</t>
  </si>
  <si>
    <t>Date of Birth dd/mm/yyyy</t>
  </si>
  <si>
    <t>Sub</t>
  </si>
  <si>
    <t>Unsub Depend</t>
  </si>
  <si>
    <t>Unsub Ind</t>
  </si>
  <si>
    <t>Full Social Security Number</t>
  </si>
  <si>
    <t>123 45 6789</t>
  </si>
  <si>
    <t>postgraduates</t>
  </si>
  <si>
    <t>Application/Student Number</t>
  </si>
  <si>
    <t>4000000</t>
  </si>
  <si>
    <t>Undergraduate1</t>
  </si>
  <si>
    <t>Full name of your course</t>
  </si>
  <si>
    <t>MSc Marketing</t>
  </si>
  <si>
    <t>Undergraduate2</t>
  </si>
  <si>
    <t>Information which affects your Cost of Attendance</t>
  </si>
  <si>
    <t>Undergraduate&gt;2</t>
  </si>
  <si>
    <t>Are you seeking only Federal (any of subsidised, unsubsidised, Plus) Loans</t>
  </si>
  <si>
    <t>UG course as PG</t>
  </si>
  <si>
    <t>Are you seeking a mix of Federal and Private loans (Sallie Mae)</t>
  </si>
  <si>
    <t>Max Loan Available</t>
  </si>
  <si>
    <t>There is no Subsidised Loan for postgraduates</t>
  </si>
  <si>
    <t>Are you seeking only Private Loans (Sallie Mae)</t>
  </si>
  <si>
    <t>CONVERTING FEES AND CONTRIBUTIONS TO DOLLARS</t>
  </si>
  <si>
    <t>Does your course - whole course, in any year - have any time in USA other than vacations? Only answer Y or N</t>
  </si>
  <si>
    <t>Rate</t>
  </si>
  <si>
    <t xml:space="preserve">Convert £ </t>
  </si>
  <si>
    <t>Already $</t>
  </si>
  <si>
    <t>Actual Loans</t>
  </si>
  <si>
    <t>Does your course involve any time at another university or school, or campus? Only answer Y or N</t>
  </si>
  <si>
    <t>Fees</t>
  </si>
  <si>
    <t>direct convert</t>
  </si>
  <si>
    <t>Sponsors</t>
  </si>
  <si>
    <t>deducts</t>
  </si>
  <si>
    <t>Is this course for a Bachelor degree such as BSc or BA? Only answer Y or N</t>
  </si>
  <si>
    <t>School Aid</t>
  </si>
  <si>
    <t>Other Aid £UK</t>
  </si>
  <si>
    <t>Other Aid $USA</t>
  </si>
  <si>
    <t>What will be your year of study - select from the dropbox only - WARNING: this must match your FAFSA &amp; SAR</t>
  </si>
  <si>
    <t>Deduct from "Need"</t>
  </si>
  <si>
    <t>What does your SAR say for "dependancy status" Only answer I or D</t>
  </si>
  <si>
    <t>What is you EFC (top right of front page of SAR) Even zero must be entered</t>
  </si>
  <si>
    <t>CONVERTING WEEKLY COSTS TO DOLLARS</t>
  </si>
  <si>
    <t>Enter the Tuition Fees - only write the figures - don't type in the £ sign as it is already formatted</t>
  </si>
  <si>
    <t>UG Weeks</t>
  </si>
  <si>
    <t>UG Costs</t>
  </si>
  <si>
    <t>PG Costs</t>
  </si>
  <si>
    <t>PG Week</t>
  </si>
  <si>
    <t>Stu Type</t>
  </si>
  <si>
    <t>weekly</t>
  </si>
  <si>
    <t>How much of the tuition fees will be paid to your school by a sponsor (only enter in the $ or £ box - not both)</t>
  </si>
  <si>
    <t>Room</t>
  </si>
  <si>
    <t>How much has already been awarded by this school as a Scholarship or Financial Aid</t>
  </si>
  <si>
    <t>Board</t>
  </si>
  <si>
    <t>How much has been awarded by any other Scholarship or Financial Aid in the UK</t>
  </si>
  <si>
    <t>Books</t>
  </si>
  <si>
    <t>Calcs above/beside</t>
  </si>
  <si>
    <t>How much has been awarded by any other Scholarship or Financial Aid from the USA</t>
  </si>
  <si>
    <t>Travel</t>
  </si>
  <si>
    <t>Personal</t>
  </si>
  <si>
    <t>Essential flights + health (for 1st yr also visa and laptop)</t>
  </si>
  <si>
    <t>Ist Year</t>
  </si>
  <si>
    <t>CONVERTING COSTS TO DOLLARS</t>
  </si>
  <si>
    <t>Origination Fees</t>
  </si>
  <si>
    <t>Course essentials like required clothing</t>
  </si>
  <si>
    <t>% Rate</t>
  </si>
  <si>
    <t>Interest</t>
  </si>
  <si>
    <t>Final</t>
  </si>
  <si>
    <t>Actual</t>
  </si>
  <si>
    <t>Health related costs such as insulin/physiotherapy</t>
  </si>
  <si>
    <t>Loan Type</t>
  </si>
  <si>
    <t>Rebate</t>
  </si>
  <si>
    <t>Factor</t>
  </si>
  <si>
    <t>Other health related  -  transport if mobility impaired, or scribing</t>
  </si>
  <si>
    <t>Sub Orig Fee</t>
  </si>
  <si>
    <t>Child care for dependent children</t>
  </si>
  <si>
    <t>Unsub Orig Fee</t>
  </si>
  <si>
    <t>PLUS Orig fee</t>
  </si>
  <si>
    <t>Total extras approved</t>
  </si>
  <si>
    <t>SUB NEED</t>
  </si>
  <si>
    <t>UNSUB NEED</t>
  </si>
  <si>
    <t>ORIG FEE NOT INC</t>
  </si>
  <si>
    <t>ORIG FEE INC</t>
  </si>
  <si>
    <t>Your Cost of Attendance (Values rounded)</t>
  </si>
  <si>
    <t>CoA</t>
  </si>
  <si>
    <t>$</t>
  </si>
  <si>
    <t>Less EFC</t>
  </si>
  <si>
    <t>School Notes</t>
  </si>
  <si>
    <t>Tuition Fees</t>
  </si>
  <si>
    <t>Need for Sub</t>
  </si>
  <si>
    <t>Add here any extra essential requirements which have not been included</t>
  </si>
  <si>
    <t>Pounds Sterling</t>
  </si>
  <si>
    <t>Use drop boxes below</t>
  </si>
  <si>
    <t>Sub available</t>
  </si>
  <si>
    <t>Course essentials like required clothing (drama/catering courses) or equipment (some scientific/media courses)</t>
  </si>
  <si>
    <t>Sub Calc</t>
  </si>
  <si>
    <t>Health related costs such as insulin/physiotherapy - write it here and be specific</t>
  </si>
  <si>
    <t>Other health related costs - such as transport if mobility impaired, or scribing - write it here and be specific</t>
  </si>
  <si>
    <t>Need for Unsub</t>
  </si>
  <si>
    <t>Child care for dependent children with the parent-student while parent  in class</t>
  </si>
  <si>
    <t>Unsub available</t>
  </si>
  <si>
    <t>Put SHORT notes in this box to justify your extra requests</t>
  </si>
  <si>
    <t>Essential flights + health for all years (plus visa and laptop if 1st year)</t>
  </si>
  <si>
    <t>Unsub Calc</t>
  </si>
  <si>
    <r>
      <t xml:space="preserve">Total Extra Requests </t>
    </r>
    <r>
      <rPr>
        <b/>
        <sz val="10"/>
        <color indexed="12"/>
        <rFont val="Arial"/>
        <family val="2"/>
      </rPr>
      <t>and those allowed converted into dollars</t>
    </r>
  </si>
  <si>
    <t>Total Cost of Attendance</t>
  </si>
  <si>
    <t>Adjust for Sponsorship, Awards or other Aid</t>
  </si>
  <si>
    <t>PLUS NEED</t>
  </si>
  <si>
    <t>Your Loan Entitlement</t>
  </si>
  <si>
    <t>Need for PLUS</t>
  </si>
  <si>
    <t>Approved Additional Items</t>
  </si>
  <si>
    <t>Final CoA including approved Additional Items</t>
  </si>
  <si>
    <t>PLUS Available</t>
  </si>
  <si>
    <t>zero if only private requested</t>
  </si>
  <si>
    <t>plus if extras allowed</t>
  </si>
  <si>
    <t>note no plus for Ind UGs</t>
  </si>
  <si>
    <t>PLUS Calc</t>
  </si>
  <si>
    <t>Maximum Govt. Loan you can borrow</t>
  </si>
  <si>
    <t>You could have borrowed these Govt. Loans</t>
  </si>
  <si>
    <t>Indep Undergrad Score</t>
  </si>
  <si>
    <t>SCHOOL COMMENT ON YOUR PROPOSED COSTS &amp; ELIGIBLE LOANS</t>
  </si>
  <si>
    <t>Subsidised - Adjusted by EFC</t>
  </si>
  <si>
    <t>Independent Undergraduates are not eligible for a PLUS Loan</t>
  </si>
  <si>
    <t>Unsubsidised</t>
  </si>
  <si>
    <t>Max Allowed Adjusted for Fees</t>
  </si>
  <si>
    <t>Government Fees *** Deducted</t>
  </si>
  <si>
    <t>State how much you would like to borrow for each loan type - adjust the figures in blue in the "Your Request" column</t>
  </si>
  <si>
    <t>Your Request  -  you may only leave or reduce these values</t>
  </si>
  <si>
    <t>After Origination Fees You Get</t>
  </si>
  <si>
    <t>Undergraduate treated as Graduate PLUS Loan</t>
  </si>
  <si>
    <t>full sallie mae</t>
  </si>
  <si>
    <t>mixed sallie mae</t>
  </si>
  <si>
    <t>Total Eligible before adjustment for Fees</t>
  </si>
  <si>
    <t>Qualify 1</t>
  </si>
  <si>
    <t>Total (after rounding, may be slightly higher than total of section 4)</t>
  </si>
  <si>
    <t>Qualify 2</t>
  </si>
  <si>
    <t>7   School Responses</t>
  </si>
  <si>
    <t>OK Statement</t>
  </si>
  <si>
    <t>Max Loans Allowed Adjusted for Fees</t>
  </si>
  <si>
    <t xml:space="preserve"> U.S. Government Fees deducted from your disbursement</t>
  </si>
  <si>
    <t>sub</t>
  </si>
  <si>
    <t>Unsub</t>
  </si>
  <si>
    <t>private</t>
  </si>
  <si>
    <t>plus</t>
  </si>
  <si>
    <t>The exchange rate is deliberately high to allow for unforeseen circumstances</t>
  </si>
  <si>
    <t>total</t>
  </si>
  <si>
    <t>THE COSTS YOU HAVE SUGGESTED ARE TOO HIGH TO BE ACCEPTABLE</t>
  </si>
  <si>
    <t>Provide evidence of your needs for any increase to  PLUS to be considered or borrow less in Section 6</t>
  </si>
  <si>
    <t>You are allowed to borrow up to the values above</t>
  </si>
  <si>
    <t>FOR SCHOOL USE ONLY</t>
  </si>
  <si>
    <t>DON'T TOUCH THE BLUE BOXES - They are calculations which feed other parts of this workbook</t>
  </si>
  <si>
    <t>School to Complete ONLY the yellow boxes</t>
  </si>
  <si>
    <t>SCHOOL INFORMATION</t>
  </si>
  <si>
    <t>MONEY INFORMATION</t>
  </si>
  <si>
    <t>Academic Year Calculations</t>
  </si>
  <si>
    <t>Calculates max allowed before proof of costs needed</t>
  </si>
  <si>
    <t>Which Academic Year is this</t>
  </si>
  <si>
    <t>Year format yyyy/yy</t>
  </si>
  <si>
    <t>Complete this Fee Estimate</t>
  </si>
  <si>
    <t>Start day of the year</t>
  </si>
  <si>
    <t>Avg highest Tuition Fee charged in London for MSc</t>
  </si>
  <si>
    <t>When did you complete this form</t>
  </si>
  <si>
    <t>Complete these dates</t>
  </si>
  <si>
    <t>Complete these Cost Estimates which are PER WEEK</t>
  </si>
  <si>
    <t>Calculates school CoA</t>
  </si>
  <si>
    <t>When do think your undergraduates start to arrive (occupy their bedroom)</t>
  </si>
  <si>
    <t>Undergrad weeks</t>
  </si>
  <si>
    <t>What is the highest charge for your halls of residence per week</t>
  </si>
  <si>
    <r>
      <t xml:space="preserve">What is the date of your last Bachelors' graduation ceremony </t>
    </r>
    <r>
      <rPr>
        <b/>
        <u/>
        <sz val="10"/>
        <color indexed="10"/>
        <rFont val="Times New Roman"/>
        <family val="1"/>
      </rPr>
      <t>in the summer</t>
    </r>
    <r>
      <rPr>
        <sz val="10"/>
        <color indexed="10"/>
        <rFont val="Times New Roman"/>
        <family val="1"/>
      </rPr>
      <t xml:space="preserve"> </t>
    </r>
  </si>
  <si>
    <t>What is your best estimate at the high-end going rate for a room per week in the area</t>
  </si>
  <si>
    <t>room</t>
  </si>
  <si>
    <t>AND/OR</t>
  </si>
  <si>
    <t>official end of summer term - ONLY if earlier</t>
  </si>
  <si>
    <t>Postgrad weeks</t>
  </si>
  <si>
    <t>What is your best estimate for electricity/gas for a week (use our own home direct debits?)</t>
  </si>
  <si>
    <t>What is your normal family shopping for a week and adjust for one adult</t>
  </si>
  <si>
    <t>board</t>
  </si>
  <si>
    <t>What will be the dates your students get their disbursements</t>
  </si>
  <si>
    <t>What is your best estimate for book buying or photocopying or course packs per week</t>
  </si>
  <si>
    <t>Your dates in COD might be earlier [to allow processing time]</t>
  </si>
  <si>
    <t>What is your best estimate at travel costs for the area for a week</t>
  </si>
  <si>
    <t>Only put in the date against each term</t>
  </si>
  <si>
    <t>What is your estimate for enough pocket money including beer/disco/movie/pizza per week</t>
  </si>
  <si>
    <t>Do NOT put in a date where you don't have a disbursement</t>
  </si>
  <si>
    <t>Payment periods - terms</t>
  </si>
  <si>
    <t>Term 1 [could be autumn or 1st semester]</t>
  </si>
  <si>
    <t>Look up these costs on the web</t>
  </si>
  <si>
    <t>Term 2 [could be spring - after Christmas - or 2nd semester]</t>
  </si>
  <si>
    <t>2 midweek return flights with BA from Los Angeles to London</t>
  </si>
  <si>
    <t>Term 3 [could be summer - after Easter]</t>
  </si>
  <si>
    <t>midweek return flight for visa interview Los Angeles to New York  (JetBlue/Delta)</t>
  </si>
  <si>
    <t>Term 4 [could be the writing up term after May/June exams if you have such a term]</t>
  </si>
  <si>
    <t>Powerful laptop [LENOVO IdeaPad 5i 14" Laptop 256 GB World July 2021]</t>
  </si>
  <si>
    <t>PG T1</t>
  </si>
  <si>
    <t>1st yr costs</t>
  </si>
  <si>
    <t>What are the initials of your staff allowed to sign visa letters USE BLOCK CAPS</t>
  </si>
  <si>
    <t>PG T2</t>
  </si>
  <si>
    <t>essential course equipment</t>
  </si>
  <si>
    <t>Only put in the staff you authorise</t>
  </si>
  <si>
    <t>PG T3</t>
  </si>
  <si>
    <t>Do not put in initials where you don't have staff</t>
  </si>
  <si>
    <t>PG T4</t>
  </si>
  <si>
    <t>essential childcare</t>
  </si>
  <si>
    <t>other essentials</t>
  </si>
  <si>
    <t>person 1</t>
  </si>
  <si>
    <t>TH</t>
  </si>
  <si>
    <t>person 2</t>
  </si>
  <si>
    <t>person 3</t>
  </si>
  <si>
    <t>Go to the banks near you and collect their exchange rates</t>
  </si>
  <si>
    <t>Calculates exchange rate for CoA</t>
  </si>
  <si>
    <t>person 4</t>
  </si>
  <si>
    <t>When did you do this</t>
  </si>
  <si>
    <t>Write in the date</t>
  </si>
  <si>
    <t>London</t>
  </si>
  <si>
    <t>person 5</t>
  </si>
  <si>
    <t>When - long after the first disbursement - will you review the exchange rate</t>
  </si>
  <si>
    <t>person 6</t>
  </si>
  <si>
    <t>If any bank showed a commission rate then enter it against that bank</t>
  </si>
  <si>
    <t>Bank Number</t>
  </si>
  <si>
    <t>Commission %</t>
  </si>
  <si>
    <t>person 7</t>
  </si>
  <si>
    <t>Do not write the name of any bank</t>
  </si>
  <si>
    <t>Barclays</t>
  </si>
  <si>
    <t>person 8</t>
  </si>
  <si>
    <t>XE</t>
  </si>
  <si>
    <t>Nat West</t>
  </si>
  <si>
    <t>These are Oct 2020 - Oct 2024 check for updates</t>
  </si>
  <si>
    <t>Travelex</t>
  </si>
  <si>
    <t>Be absolutely sure you are looking at the right year</t>
  </si>
  <si>
    <t>Calculates gross loan to cash</t>
  </si>
  <si>
    <t>Western Union</t>
  </si>
  <si>
    <t>Rate from Oct 2020 - Oct 2024 No change</t>
  </si>
  <si>
    <t>Origination Fee %</t>
  </si>
  <si>
    <t>Rebate %</t>
  </si>
  <si>
    <t>Bank 6</t>
  </si>
  <si>
    <t>Subsidised Loans</t>
  </si>
  <si>
    <t>Bank 7</t>
  </si>
  <si>
    <t>Unsubsidised Loans</t>
  </si>
  <si>
    <t>Bank 8</t>
  </si>
  <si>
    <t>PLUS Loans</t>
  </si>
  <si>
    <t>Bank 9</t>
  </si>
  <si>
    <t>Worst Fee Rate</t>
  </si>
  <si>
    <t>Bank 10</t>
  </si>
  <si>
    <t>Worst case rates</t>
  </si>
  <si>
    <t>These are 15/16 - If you know levels have changed, go to the USDE website and find the loan levels for each type of student</t>
  </si>
  <si>
    <t>The information in the FSA Handbook is confusing so use another site to confirm details</t>
  </si>
  <si>
    <t>Worst combination goes to the CoA</t>
  </si>
  <si>
    <t>Loan values eligible</t>
  </si>
  <si>
    <t>Subsidised</t>
  </si>
  <si>
    <t>Dependent Unsubsidised</t>
  </si>
  <si>
    <t>Independent Unsubsidised</t>
  </si>
  <si>
    <t>Worst case costs at selected or calculated exchange rate</t>
  </si>
  <si>
    <t>Year 1</t>
  </si>
  <si>
    <t>and inflated by 10%</t>
  </si>
  <si>
    <t>Year 2</t>
  </si>
  <si>
    <t>Year 3</t>
  </si>
  <si>
    <t>plus worst origination rates</t>
  </si>
  <si>
    <t>Year 4</t>
  </si>
  <si>
    <t>Max Loans allowed before review</t>
  </si>
  <si>
    <t>Calculating fields for late starters - do not adjust these fields</t>
  </si>
  <si>
    <t>weeks</t>
  </si>
  <si>
    <t>PG</t>
  </si>
  <si>
    <t>UG</t>
  </si>
  <si>
    <t>Aggregate Loan Limits</t>
  </si>
  <si>
    <r>
      <t xml:space="preserve">Limit </t>
    </r>
    <r>
      <rPr>
        <sz val="10"/>
        <color indexed="10"/>
        <rFont val="Times New Roman"/>
        <family val="1"/>
      </rPr>
      <t>These are 2022</t>
    </r>
    <r>
      <rPr>
        <sz val="10"/>
        <rFont val="Times New Roman"/>
        <family val="1"/>
      </rPr>
      <t xml:space="preserve"> No change</t>
    </r>
  </si>
  <si>
    <t>Sub Limit</t>
  </si>
  <si>
    <t>UG Dependent - all assumed</t>
  </si>
  <si>
    <t>$31,000.00</t>
  </si>
  <si>
    <t>$23,000.00</t>
  </si>
  <si>
    <t>UG Independent</t>
  </si>
  <si>
    <t>$57,500.00</t>
  </si>
  <si>
    <t>$138,500.00</t>
  </si>
  <si>
    <t>$65,500.00</t>
  </si>
  <si>
    <t>Notification of Student Loan</t>
  </si>
  <si>
    <t xml:space="preserve">This is to certify that </t>
  </si>
  <si>
    <t>Student Name</t>
  </si>
  <si>
    <t>Date of Birth</t>
  </si>
  <si>
    <t>Student/Applicant ID</t>
  </si>
  <si>
    <t>has been accepted in a degree-granting program (or otherwise eligible program) at our school.</t>
  </si>
  <si>
    <r>
      <t>We participate in the William D. Ford Federal Direct Loan (Direct Loan) Program administered by the United States (U.S.) Department of Education</t>
    </r>
    <r>
      <rPr>
        <i/>
        <sz val="12"/>
        <rFont val="Times New Roman"/>
        <family val="1"/>
      </rPr>
      <t>.</t>
    </r>
    <r>
      <rPr>
        <sz val="12"/>
        <rFont val="Times New Roman"/>
        <family val="1"/>
      </rPr>
      <t xml:space="preserve"> </t>
    </r>
  </si>
  <si>
    <t xml:space="preserve">Eligible students from the U.S. who attend our school may borrow through the Direct Loan Program. </t>
  </si>
  <si>
    <t>Undergraduate students and graduate/professional students may receive Direct Subsidized Loans and Direct Unsubsidized Loans.</t>
  </si>
  <si>
    <t xml:space="preserve">Graduate/professional students and parents may receive Direct PLUS Loans. </t>
  </si>
  <si>
    <t>Based on our calculation of the student’s financial needs and Direct Loan eligibility for the loan period</t>
  </si>
  <si>
    <t xml:space="preserve"> the student (or, in some cases, the student’s parent) will receive the following Direct Loan awards</t>
  </si>
  <si>
    <t>which come from the US Dept of Education and are administered through this school.</t>
  </si>
  <si>
    <t>Loan Amount</t>
  </si>
  <si>
    <t xml:space="preserve">Estimated Amount </t>
  </si>
  <si>
    <t>Direct Subsidized Loan</t>
  </si>
  <si>
    <t>After Origination Fee</t>
  </si>
  <si>
    <t>Direct Unsubsidized Loan</t>
  </si>
  <si>
    <t>Direct PLUS Loan</t>
  </si>
  <si>
    <t>Total</t>
  </si>
  <si>
    <t>The disbursement dates: The date funds will be in the LSBU account</t>
  </si>
  <si>
    <t>Rounding Difference</t>
  </si>
  <si>
    <t>This certificate is only valid</t>
  </si>
  <si>
    <t>if printed on school headed paper</t>
  </si>
  <si>
    <t>and signed across the coat of arms</t>
  </si>
  <si>
    <t>by the person whose initials are ringed below</t>
  </si>
  <si>
    <t>and stamped by the Office stamp</t>
  </si>
  <si>
    <t>Date Issued</t>
  </si>
  <si>
    <t>Checklist for Direct List Loan Applications</t>
  </si>
  <si>
    <t>Allowed</t>
  </si>
  <si>
    <t>Please put Y or N in the response box for each question</t>
  </si>
  <si>
    <t>The default setting is "N"</t>
  </si>
  <si>
    <t>Response</t>
  </si>
  <si>
    <t>School Comments</t>
  </si>
  <si>
    <t>Only Y or N</t>
  </si>
  <si>
    <t>Have you entered your name and full address on the  Cost of Attendance</t>
  </si>
  <si>
    <t>n</t>
  </si>
  <si>
    <t>Have you entered your SSN on the  Cost of Attendance</t>
  </si>
  <si>
    <t>Have you correctly entered your email address on the  Cost of Attendance</t>
  </si>
  <si>
    <t>Have you entered the EFC from your SAR on the  Cost of Attendance</t>
  </si>
  <si>
    <t>Have you entered your tuition fees on the  Cost of Attendance</t>
  </si>
  <si>
    <t>Have you entered on the Cost of Attendance how much you wish to borrow (Section 6)</t>
  </si>
  <si>
    <t>Selective Service</t>
  </si>
  <si>
    <t>Are you female</t>
  </si>
  <si>
    <t>Promissory Notes</t>
  </si>
  <si>
    <t>Have you applied for a PLUS Loan</t>
  </si>
  <si>
    <t>Entrance Counselling</t>
  </si>
  <si>
    <t>Have you attached your entrance counselling completion</t>
  </si>
  <si>
    <t>If there are no school comments then we have sufficient information to start the origination process. If anything is missing or incorrect, then we cannot originate your loans.</t>
  </si>
  <si>
    <t>How these Costs are Calculated</t>
  </si>
  <si>
    <t>Exchange Rate</t>
  </si>
  <si>
    <t>The exchange rate is set by a review of High Street banks and selecting the worst possible rate and incrementing it by the worst possible commission. This is sufficient to enable loans to be calculated and originated. The rate will not be re-assessed until after the end of the registration period. Should the rate change unfavourably once the course has started, then the whole Cost of Attendance can be reviewed again. .</t>
  </si>
  <si>
    <t>Room - Rent</t>
  </si>
  <si>
    <t>Board - Food and Power</t>
  </si>
  <si>
    <t>Keep all shopping receipts for a month, This covers all the bills for a month for a normal household including alcohol, all household cleaning materials and all food etc. Divide the weekly average by 1 less than are in the household. This is more than enough to cover the food, provisions and power for a single person.</t>
  </si>
  <si>
    <t>Books &amp; Copying</t>
  </si>
  <si>
    <t>The cost of a single course pack (for the term) applied for each week which is more than sufficient for book purchase.</t>
  </si>
  <si>
    <t>cost of zone 1-2 London weekly travel card</t>
  </si>
  <si>
    <t>The Office Manager's 'pocket money' for a week</t>
  </si>
  <si>
    <t>2 return flights</t>
  </si>
  <si>
    <t>Cost of two BA return flights Heathrow/LA  travelling midweek</t>
  </si>
  <si>
    <t>PC</t>
  </si>
  <si>
    <t>Cost of a good quality laptop from a PC chain store</t>
  </si>
  <si>
    <t>Visa application</t>
  </si>
  <si>
    <t>Visa costs plus cost of midweek return next day flight US New York to LA and rounded</t>
  </si>
  <si>
    <t>PLUS Loan</t>
  </si>
  <si>
    <t>The balance of the cost of attendance after Sub &amp; Unsub and grossed up to include Origination Fee  on Sub &amp; Unsub added to PLUS loan needs and then increased again to include the origination fee charged on PLUS Loans as quoted on Direct Lending website, and reduced by any rebate offered by USDE. This ensures that the cash you receive, after foreign exchange and deduction of origination fees, is the sterling cost of attendance.</t>
  </si>
  <si>
    <t>Government Fees</t>
  </si>
  <si>
    <t xml:space="preserve">Your government takes an origination fee. </t>
  </si>
  <si>
    <t>There was a partial refund of the origination fee which has been withdrawn since 2012 entry</t>
  </si>
  <si>
    <t>If those repayments are not all on-time then the refund which was given to you will be charged back to you</t>
  </si>
  <si>
    <t>Year Dates</t>
  </si>
  <si>
    <t>These dates are set to minimise the risk of your loan being rejected by overlapping a previous year.</t>
  </si>
  <si>
    <t>Postgraduates - The loan year will be 365 days</t>
  </si>
  <si>
    <t>Undergraduates - The loan year will be start of academic year to end of final term</t>
  </si>
  <si>
    <t>Disbursement Dates</t>
  </si>
  <si>
    <t>The transfer of funds from ED Dept to our UK bank and a refund for your living money takes a good 10 days.</t>
  </si>
  <si>
    <t>WARNING - THESE DATES ARE EXPECTED AND NOT ACTUAL. Allow for about 3 days delay - just in case.</t>
  </si>
  <si>
    <t>Date of Birth (dd/mm/yyyy)</t>
  </si>
  <si>
    <t xml:space="preserve">Eligible students from the U.S. who attend our school may borrow private loans through Sallie Mae. </t>
  </si>
  <si>
    <t>The School certifies the value of these loans and receives the disbursements to give to the student.</t>
  </si>
  <si>
    <t>We have certified a loan with Sallie Mae as follows:</t>
  </si>
  <si>
    <t xml:space="preserve"> the student will receive the following Private Loan awards:</t>
  </si>
  <si>
    <t>Sallie Mae Smart Loan</t>
  </si>
  <si>
    <t>The disbursement dates are as follows:</t>
  </si>
  <si>
    <t>2024/25</t>
  </si>
  <si>
    <t>NHS Immigration health surcharge (2024 Student price)</t>
  </si>
  <si>
    <t>annual flights &amp; health</t>
  </si>
  <si>
    <t>Student Visa 2024 price</t>
  </si>
  <si>
    <t>county/state</t>
  </si>
  <si>
    <t>town/city</t>
  </si>
  <si>
    <t>door number and road</t>
  </si>
  <si>
    <t>country</t>
  </si>
  <si>
    <t>Have you attached your MPN</t>
  </si>
  <si>
    <t>Loan Period Start Date</t>
  </si>
  <si>
    <t>Loan Period End Date</t>
  </si>
  <si>
    <t>First, Check the prices of all halls of residence and selecting the highest below self-contained suite. Second, search for the average price of a room in a shared flat and for a studio flat in the close area (use the web and general estate agent searches). Select the higher average price of the two scenarios.</t>
  </si>
  <si>
    <t>The (hidden) Basis of Costs tab shows you how we calculated the Cost of Attendance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</si>
</sst>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quot;£&quot;#,##0"/>
    <numFmt numFmtId="165" formatCode="[$$-409]#,##0"/>
    <numFmt numFmtId="166" formatCode="&quot;£&quot;#,##0.00"/>
    <numFmt numFmtId="167" formatCode="[$$-409]#,##0.00"/>
    <numFmt numFmtId="168" formatCode="#,##0_ ;\-#,##0\ "/>
    <numFmt numFmtId="169" formatCode="[$$-409]#,##0;[Red][$$-409]#,##0"/>
    <numFmt numFmtId="170" formatCode="[$-F800]dddd\,\ mmmm\ dd\,\ yyyy"/>
    <numFmt numFmtId="171" formatCode="[$-809]d\ mmmm\ yyyy;@"/>
    <numFmt numFmtId="172" formatCode="[$$-409]#,##0.00;[Red][$$-409]#,##0.00"/>
    <numFmt numFmtId="173" formatCode="0.0000"/>
    <numFmt numFmtId="174" formatCode="0.0%"/>
    <numFmt numFmtId="175" formatCode="0.0000%"/>
    <numFmt numFmtId="176" formatCode="_-[$$-409]* #,##0.00_ ;_-[$$-409]* \-#,##0.00\ ;_-[$$-409]* &quot;-&quot;??_ ;_-@_ "/>
  </numFmts>
  <fonts count="79" x14ac:knownFonts="1">
    <font>
      <sz val="10"/>
      <name val="Arial"/>
    </font>
    <font>
      <sz val="10"/>
      <name val="Arial"/>
      <family val="2"/>
    </font>
    <font>
      <b/>
      <sz val="10"/>
      <name val="Arial"/>
      <family val="2"/>
    </font>
    <font>
      <b/>
      <sz val="16"/>
      <name val="Arial"/>
      <family val="2"/>
    </font>
    <font>
      <b/>
      <sz val="10"/>
      <color indexed="10"/>
      <name val="Arial"/>
      <family val="2"/>
    </font>
    <font>
      <sz val="8"/>
      <name val="Arial"/>
      <family val="2"/>
    </font>
    <font>
      <sz val="10"/>
      <color indexed="12"/>
      <name val="Arial"/>
      <family val="2"/>
    </font>
    <font>
      <sz val="12"/>
      <name val="Arial"/>
      <family val="2"/>
    </font>
    <font>
      <b/>
      <sz val="12"/>
      <color indexed="9"/>
      <name val="Arial"/>
      <family val="2"/>
    </font>
    <font>
      <b/>
      <sz val="12"/>
      <name val="Arial"/>
      <family val="2"/>
    </font>
    <font>
      <b/>
      <sz val="12"/>
      <color indexed="12"/>
      <name val="Arial"/>
      <family val="2"/>
    </font>
    <font>
      <b/>
      <sz val="14"/>
      <name val="Arial"/>
      <family val="2"/>
    </font>
    <font>
      <b/>
      <sz val="14"/>
      <color indexed="10"/>
      <name val="Arial"/>
      <family val="2"/>
    </font>
    <font>
      <u/>
      <sz val="7.5"/>
      <color indexed="12"/>
      <name val="Arial"/>
      <family val="2"/>
    </font>
    <font>
      <b/>
      <sz val="12"/>
      <name val="Arial"/>
      <family val="2"/>
    </font>
    <font>
      <b/>
      <sz val="12"/>
      <color indexed="10"/>
      <name val="Arial"/>
      <family val="2"/>
    </font>
    <font>
      <b/>
      <sz val="12"/>
      <color indexed="10"/>
      <name val="Arial"/>
      <family val="2"/>
    </font>
    <font>
      <sz val="12"/>
      <color indexed="12"/>
      <name val="Arial"/>
      <family val="2"/>
    </font>
    <font>
      <b/>
      <sz val="10"/>
      <color indexed="15"/>
      <name val="Arial"/>
      <family val="2"/>
    </font>
    <font>
      <b/>
      <sz val="18"/>
      <name val="Times New Roman"/>
      <family val="1"/>
    </font>
    <font>
      <sz val="10"/>
      <name val="Times New Roman"/>
      <family val="1"/>
    </font>
    <font>
      <sz val="14"/>
      <name val="Times New Roman"/>
      <family val="1"/>
    </font>
    <font>
      <b/>
      <sz val="12"/>
      <name val="Times New Roman"/>
      <family val="1"/>
    </font>
    <font>
      <sz val="14"/>
      <color indexed="10"/>
      <name val="Arial"/>
      <family val="2"/>
    </font>
    <font>
      <sz val="12"/>
      <name val="Times New Roman"/>
      <family val="1"/>
    </font>
    <font>
      <i/>
      <sz val="12"/>
      <name val="Times New Roman"/>
      <family val="1"/>
    </font>
    <font>
      <b/>
      <sz val="14"/>
      <color indexed="12"/>
      <name val="Arial"/>
      <family val="2"/>
    </font>
    <font>
      <b/>
      <sz val="10"/>
      <color indexed="10"/>
      <name val="Times New Roman"/>
      <family val="1"/>
    </font>
    <font>
      <b/>
      <sz val="12"/>
      <color indexed="10"/>
      <name val="Times New Roman"/>
      <family val="1"/>
    </font>
    <font>
      <b/>
      <sz val="12"/>
      <color indexed="12"/>
      <name val="Times New Roman"/>
      <family val="1"/>
    </font>
    <font>
      <b/>
      <sz val="10"/>
      <name val="Times New Roman"/>
      <family val="1"/>
    </font>
    <font>
      <sz val="10"/>
      <color indexed="10"/>
      <name val="Times New Roman"/>
      <family val="1"/>
    </font>
    <font>
      <sz val="10"/>
      <color indexed="12"/>
      <name val="Times New Roman"/>
      <family val="1"/>
    </font>
    <font>
      <sz val="10"/>
      <color indexed="9"/>
      <name val="Times New Roman"/>
      <family val="1"/>
    </font>
    <font>
      <b/>
      <sz val="10"/>
      <color indexed="12"/>
      <name val="Times New Roman"/>
      <family val="1"/>
    </font>
    <font>
      <b/>
      <sz val="10"/>
      <color indexed="48"/>
      <name val="Times New Roman"/>
      <family val="1"/>
    </font>
    <font>
      <b/>
      <u/>
      <sz val="12"/>
      <color indexed="10"/>
      <name val="Times New Roman"/>
      <family val="1"/>
    </font>
    <font>
      <b/>
      <u/>
      <sz val="10"/>
      <color indexed="10"/>
      <name val="Times New Roman"/>
      <family val="1"/>
    </font>
    <font>
      <b/>
      <sz val="14"/>
      <color indexed="12"/>
      <name val="Times New Roman"/>
      <family val="1"/>
    </font>
    <font>
      <b/>
      <sz val="10"/>
      <color indexed="48"/>
      <name val="Arial"/>
      <family val="2"/>
    </font>
    <font>
      <b/>
      <sz val="12"/>
      <color indexed="13"/>
      <name val="Arial"/>
      <family val="2"/>
    </font>
    <font>
      <u/>
      <sz val="12"/>
      <color indexed="12"/>
      <name val="Arial"/>
      <family val="2"/>
    </font>
    <font>
      <b/>
      <u/>
      <sz val="10"/>
      <color indexed="13"/>
      <name val="Times New Roman"/>
      <family val="1"/>
    </font>
    <font>
      <sz val="10"/>
      <color indexed="13"/>
      <name val="Times New Roman"/>
      <family val="1"/>
    </font>
    <font>
      <b/>
      <sz val="16"/>
      <color indexed="13"/>
      <name val="Times New Roman"/>
      <family val="1"/>
    </font>
    <font>
      <sz val="16"/>
      <name val="Times New Roman"/>
      <family val="1"/>
    </font>
    <font>
      <b/>
      <sz val="16"/>
      <color indexed="17"/>
      <name val="Arial"/>
      <family val="2"/>
    </font>
    <font>
      <b/>
      <sz val="10"/>
      <color indexed="17"/>
      <name val="Arial"/>
      <family val="2"/>
    </font>
    <font>
      <sz val="10"/>
      <color indexed="17"/>
      <name val="Arial"/>
      <family val="2"/>
    </font>
    <font>
      <b/>
      <sz val="12"/>
      <color indexed="17"/>
      <name val="Arial"/>
      <family val="2"/>
    </font>
    <font>
      <sz val="12"/>
      <color indexed="17"/>
      <name val="Arial"/>
      <family val="2"/>
    </font>
    <font>
      <b/>
      <sz val="14"/>
      <color indexed="17"/>
      <name val="Arial"/>
      <family val="2"/>
    </font>
    <font>
      <b/>
      <sz val="14"/>
      <color indexed="9"/>
      <name val="Arial"/>
      <family val="2"/>
    </font>
    <font>
      <b/>
      <sz val="16"/>
      <color indexed="10"/>
      <name val="Times New Roman"/>
      <family val="1"/>
    </font>
    <font>
      <b/>
      <sz val="14"/>
      <color indexed="13"/>
      <name val="Arial"/>
      <family val="2"/>
    </font>
    <font>
      <sz val="12"/>
      <color indexed="10"/>
      <name val="Arial"/>
      <family val="2"/>
    </font>
    <font>
      <sz val="10"/>
      <color indexed="22"/>
      <name val="Arial"/>
      <family val="2"/>
    </font>
    <font>
      <b/>
      <u/>
      <sz val="7.5"/>
      <color indexed="12"/>
      <name val="Arial"/>
      <family val="2"/>
    </font>
    <font>
      <sz val="10"/>
      <color indexed="10"/>
      <name val="Arial"/>
      <family val="2"/>
    </font>
    <font>
      <sz val="10"/>
      <color indexed="23"/>
      <name val="Arial"/>
      <family val="2"/>
    </font>
    <font>
      <b/>
      <sz val="10"/>
      <color indexed="9"/>
      <name val="Times New Roman"/>
      <family val="1"/>
    </font>
    <font>
      <sz val="12"/>
      <color indexed="22"/>
      <name val="Arial"/>
      <family val="2"/>
    </font>
    <font>
      <b/>
      <sz val="10"/>
      <color indexed="23"/>
      <name val="Arial"/>
      <family val="2"/>
    </font>
    <font>
      <b/>
      <sz val="16"/>
      <color indexed="12"/>
      <name val="Arial"/>
      <family val="2"/>
    </font>
    <font>
      <b/>
      <sz val="16"/>
      <color indexed="10"/>
      <name val="Arial"/>
      <family val="2"/>
    </font>
    <font>
      <b/>
      <i/>
      <sz val="16"/>
      <color indexed="10"/>
      <name val="Arial"/>
      <family val="2"/>
    </font>
    <font>
      <b/>
      <i/>
      <sz val="8"/>
      <color indexed="10"/>
      <name val="Arial"/>
      <family val="2"/>
    </font>
    <font>
      <b/>
      <sz val="8"/>
      <color indexed="10"/>
      <name val="Arial"/>
      <family val="2"/>
    </font>
    <font>
      <b/>
      <u/>
      <sz val="10"/>
      <color indexed="10"/>
      <name val="Arial"/>
      <family val="2"/>
    </font>
    <font>
      <sz val="10"/>
      <color indexed="10"/>
      <name val="Arial"/>
      <family val="2"/>
    </font>
    <font>
      <b/>
      <u/>
      <sz val="12"/>
      <color indexed="10"/>
      <name val="Arial"/>
      <family val="2"/>
    </font>
    <font>
      <b/>
      <sz val="12"/>
      <color indexed="51"/>
      <name val="Arial"/>
      <family val="2"/>
    </font>
    <font>
      <sz val="10"/>
      <color indexed="13"/>
      <name val="Arial"/>
      <family val="2"/>
    </font>
    <font>
      <b/>
      <sz val="16"/>
      <color indexed="13"/>
      <name val="Arial"/>
      <family val="2"/>
    </font>
    <font>
      <sz val="12"/>
      <color indexed="13"/>
      <name val="Arial"/>
      <family val="2"/>
    </font>
    <font>
      <b/>
      <sz val="10"/>
      <color indexed="12"/>
      <name val="Arial"/>
      <family val="2"/>
    </font>
    <font>
      <sz val="10"/>
      <color indexed="20"/>
      <name val="Arial"/>
      <family val="2"/>
    </font>
    <font>
      <sz val="10"/>
      <color indexed="48"/>
      <name val="Times New Roman"/>
      <family val="1"/>
    </font>
    <font>
      <sz val="12"/>
      <color indexed="48"/>
      <name val="Arial"/>
      <family val="2"/>
    </font>
  </fonts>
  <fills count="9">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indexed="48"/>
        <bgColor indexed="64"/>
      </patternFill>
    </fill>
    <fill>
      <patternFill patternType="solid">
        <fgColor indexed="12"/>
        <bgColor indexed="64"/>
      </patternFill>
    </fill>
    <fill>
      <patternFill patternType="solid">
        <fgColor indexed="10"/>
        <bgColor indexed="64"/>
      </patternFill>
    </fill>
    <fill>
      <patternFill patternType="solid">
        <fgColor theme="2" tint="-9.9978637043366805E-2"/>
        <bgColor indexed="64"/>
      </patternFill>
    </fill>
  </fills>
  <borders count="21">
    <border>
      <left/>
      <right/>
      <top/>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3" fillId="0" borderId="0" applyNumberFormat="0" applyFill="0" applyBorder="0" applyAlignment="0" applyProtection="0">
      <alignment vertical="top"/>
      <protection locked="0"/>
    </xf>
  </cellStyleXfs>
  <cellXfs count="401">
    <xf numFmtId="0" fontId="0" fillId="0" borderId="0" xfId="0"/>
    <xf numFmtId="0" fontId="7" fillId="0" borderId="0" xfId="0" applyFont="1"/>
    <xf numFmtId="1" fontId="3" fillId="0" borderId="0" xfId="1" applyNumberFormat="1" applyFont="1" applyAlignment="1" applyProtection="1">
      <alignment horizontal="center"/>
    </xf>
    <xf numFmtId="43" fontId="3" fillId="0" borderId="0" xfId="1" applyFont="1" applyAlignment="1" applyProtection="1">
      <alignment horizontal="right"/>
    </xf>
    <xf numFmtId="43" fontId="3" fillId="0" borderId="0" xfId="1" applyFont="1" applyAlignment="1" applyProtection="1">
      <alignment horizontal="center"/>
    </xf>
    <xf numFmtId="0" fontId="3" fillId="0" borderId="0" xfId="0" applyFont="1" applyAlignment="1">
      <alignment horizontal="center"/>
    </xf>
    <xf numFmtId="1" fontId="2" fillId="0" borderId="0" xfId="1" applyNumberFormat="1" applyFont="1" applyAlignment="1" applyProtection="1">
      <alignment horizontal="center"/>
    </xf>
    <xf numFmtId="43" fontId="4" fillId="0" borderId="0" xfId="1" applyFont="1" applyAlignment="1" applyProtection="1">
      <alignment horizontal="right"/>
    </xf>
    <xf numFmtId="43" fontId="2" fillId="0" borderId="0" xfId="1" applyFont="1" applyAlignment="1" applyProtection="1">
      <alignment horizontal="center"/>
    </xf>
    <xf numFmtId="0" fontId="2" fillId="0" borderId="0" xfId="0" applyFont="1" applyAlignment="1">
      <alignment horizontal="center"/>
    </xf>
    <xf numFmtId="43" fontId="0" fillId="0" borderId="0" xfId="1" applyFont="1" applyAlignment="1" applyProtection="1">
      <alignment horizontal="right"/>
    </xf>
    <xf numFmtId="43" fontId="2" fillId="0" borderId="0" xfId="1" applyFont="1" applyAlignment="1" applyProtection="1">
      <alignment horizontal="right"/>
    </xf>
    <xf numFmtId="1" fontId="0" fillId="0" borderId="0" xfId="1" applyNumberFormat="1" applyFont="1" applyAlignment="1" applyProtection="1">
      <alignment horizontal="center"/>
    </xf>
    <xf numFmtId="43" fontId="0" fillId="0" borderId="0" xfId="1" applyFont="1" applyProtection="1"/>
    <xf numFmtId="43" fontId="0" fillId="0" borderId="0" xfId="1" applyFont="1" applyAlignment="1" applyProtection="1">
      <alignment horizontal="center"/>
    </xf>
    <xf numFmtId="0" fontId="0" fillId="0" borderId="0" xfId="0" applyAlignment="1">
      <alignment horizontal="center"/>
    </xf>
    <xf numFmtId="1" fontId="0" fillId="2" borderId="1" xfId="1" applyNumberFormat="1" applyFont="1" applyFill="1" applyBorder="1" applyAlignment="1" applyProtection="1">
      <alignment horizontal="center"/>
    </xf>
    <xf numFmtId="43" fontId="0" fillId="2" borderId="0" xfId="1" applyFont="1" applyFill="1" applyBorder="1" applyAlignment="1" applyProtection="1">
      <alignment horizontal="center"/>
    </xf>
    <xf numFmtId="43" fontId="7" fillId="2" borderId="0" xfId="1" applyFont="1" applyFill="1" applyBorder="1" applyAlignment="1" applyProtection="1">
      <alignment horizontal="center"/>
    </xf>
    <xf numFmtId="43" fontId="0" fillId="0" borderId="0" xfId="1" applyFont="1" applyBorder="1" applyProtection="1"/>
    <xf numFmtId="43" fontId="0" fillId="0" borderId="0" xfId="1" applyFont="1" applyBorder="1" applyAlignment="1" applyProtection="1">
      <alignment vertical="top" wrapText="1"/>
    </xf>
    <xf numFmtId="1" fontId="7" fillId="0" borderId="0" xfId="1" applyNumberFormat="1" applyFont="1" applyAlignment="1" applyProtection="1">
      <alignment horizontal="center"/>
    </xf>
    <xf numFmtId="0" fontId="12" fillId="0" borderId="0" xfId="0" applyFont="1" applyAlignment="1">
      <alignment horizontal="center"/>
    </xf>
    <xf numFmtId="0" fontId="12" fillId="0" borderId="2" xfId="0" applyFont="1" applyBorder="1" applyAlignment="1">
      <alignment horizontal="center"/>
    </xf>
    <xf numFmtId="167" fontId="7" fillId="0" borderId="0" xfId="0" applyNumberFormat="1" applyFont="1" applyAlignment="1">
      <alignment horizontal="center"/>
    </xf>
    <xf numFmtId="167" fontId="15" fillId="0" borderId="0" xfId="0" applyNumberFormat="1" applyFont="1" applyAlignment="1">
      <alignment horizontal="center"/>
    </xf>
    <xf numFmtId="167" fontId="15" fillId="0" borderId="5" xfId="0" applyNumberFormat="1" applyFont="1" applyBorder="1" applyAlignment="1">
      <alignment horizontal="center"/>
    </xf>
    <xf numFmtId="167" fontId="15" fillId="0" borderId="2" xfId="0" applyNumberFormat="1" applyFont="1" applyBorder="1" applyAlignment="1">
      <alignment horizontal="center"/>
    </xf>
    <xf numFmtId="167" fontId="15" fillId="0" borderId="6" xfId="0" applyNumberFormat="1" applyFont="1" applyBorder="1" applyAlignment="1">
      <alignment horizontal="center"/>
    </xf>
    <xf numFmtId="1" fontId="7" fillId="0" borderId="0" xfId="0" applyNumberFormat="1" applyFont="1" applyAlignment="1">
      <alignment horizontal="center"/>
    </xf>
    <xf numFmtId="1" fontId="0" fillId="0" borderId="0" xfId="0" applyNumberFormat="1" applyAlignment="1">
      <alignment horizontal="center"/>
    </xf>
    <xf numFmtId="0" fontId="0" fillId="0" borderId="0" xfId="0" applyAlignment="1" applyProtection="1">
      <alignment horizontal="center"/>
      <protection locked="0"/>
    </xf>
    <xf numFmtId="0" fontId="0" fillId="0" borderId="0" xfId="0" applyProtection="1">
      <protection hidden="1"/>
    </xf>
    <xf numFmtId="0" fontId="2" fillId="0" borderId="0" xfId="0" applyFont="1" applyAlignment="1" applyProtection="1">
      <alignment horizontal="center"/>
      <protection hidden="1"/>
    </xf>
    <xf numFmtId="0" fontId="19" fillId="0" borderId="0" xfId="0" applyFont="1" applyAlignment="1" applyProtection="1">
      <alignment horizontal="left"/>
      <protection hidden="1"/>
    </xf>
    <xf numFmtId="0" fontId="20" fillId="0" borderId="0" xfId="0" applyFont="1" applyProtection="1">
      <protection hidden="1"/>
    </xf>
    <xf numFmtId="0" fontId="21" fillId="0" borderId="0" xfId="0" applyFont="1" applyProtection="1">
      <protection hidden="1"/>
    </xf>
    <xf numFmtId="0" fontId="22" fillId="0" borderId="7" xfId="0" applyFont="1" applyBorder="1" applyAlignment="1" applyProtection="1">
      <alignment horizontal="center" vertical="top" wrapText="1"/>
      <protection hidden="1"/>
    </xf>
    <xf numFmtId="0" fontId="14" fillId="0" borderId="0" xfId="0" applyFont="1"/>
    <xf numFmtId="0" fontId="9" fillId="0" borderId="7" xfId="0" applyFont="1" applyBorder="1" applyAlignment="1" applyProtection="1">
      <alignment horizontal="center"/>
      <protection hidden="1"/>
    </xf>
    <xf numFmtId="170" fontId="9" fillId="0" borderId="7" xfId="0" applyNumberFormat="1" applyFont="1" applyBorder="1" applyAlignment="1" applyProtection="1">
      <alignment horizontal="center"/>
      <protection hidden="1"/>
    </xf>
    <xf numFmtId="0" fontId="9" fillId="0" borderId="0" xfId="0" applyFont="1" applyProtection="1">
      <protection hidden="1"/>
    </xf>
    <xf numFmtId="0" fontId="9" fillId="0" borderId="0" xfId="0" applyFont="1"/>
    <xf numFmtId="0" fontId="22" fillId="0" borderId="8" xfId="0" applyFont="1" applyBorder="1" applyAlignment="1" applyProtection="1">
      <alignment horizontal="center" vertical="top" wrapText="1"/>
      <protection hidden="1"/>
    </xf>
    <xf numFmtId="167" fontId="9" fillId="0" borderId="7" xfId="0" applyNumberFormat="1" applyFont="1" applyBorder="1" applyAlignment="1" applyProtection="1">
      <alignment horizontal="center"/>
      <protection hidden="1"/>
    </xf>
    <xf numFmtId="0" fontId="9" fillId="0" borderId="8" xfId="0" applyFont="1" applyBorder="1" applyAlignment="1" applyProtection="1">
      <alignment horizontal="center"/>
      <protection hidden="1"/>
    </xf>
    <xf numFmtId="0" fontId="22" fillId="0" borderId="0" xfId="0" applyFont="1" applyProtection="1">
      <protection hidden="1"/>
    </xf>
    <xf numFmtId="0" fontId="22" fillId="0" borderId="0" xfId="0" applyFont="1"/>
    <xf numFmtId="0" fontId="23" fillId="0" borderId="0" xfId="0" applyFont="1"/>
    <xf numFmtId="0" fontId="4" fillId="0" borderId="0" xfId="0" applyFont="1"/>
    <xf numFmtId="49" fontId="2"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49" fontId="9" fillId="0" borderId="0" xfId="0" applyNumberFormat="1" applyFont="1" applyAlignment="1" applyProtection="1">
      <alignment horizontal="center"/>
      <protection hidden="1"/>
    </xf>
    <xf numFmtId="0" fontId="24" fillId="0" borderId="0" xfId="0" applyFont="1" applyProtection="1">
      <protection hidden="1"/>
    </xf>
    <xf numFmtId="0" fontId="7" fillId="0" borderId="0" xfId="0" applyFont="1" applyProtection="1">
      <protection hidden="1"/>
    </xf>
    <xf numFmtId="0" fontId="24" fillId="0" borderId="0" xfId="0" applyFont="1"/>
    <xf numFmtId="171" fontId="24" fillId="0" borderId="0" xfId="0" applyNumberFormat="1" applyFont="1" applyAlignment="1" applyProtection="1">
      <alignment horizontal="left"/>
      <protection hidden="1"/>
    </xf>
    <xf numFmtId="43" fontId="19" fillId="0" borderId="0" xfId="0" applyNumberFormat="1" applyFont="1" applyAlignment="1" applyProtection="1">
      <alignment horizontal="left"/>
      <protection hidden="1"/>
    </xf>
    <xf numFmtId="1" fontId="0" fillId="2" borderId="0" xfId="1" applyNumberFormat="1" applyFont="1" applyFill="1" applyBorder="1" applyAlignment="1" applyProtection="1">
      <alignment horizontal="center"/>
    </xf>
    <xf numFmtId="1" fontId="7" fillId="0" borderId="0" xfId="1" applyNumberFormat="1" applyFont="1" applyBorder="1" applyAlignment="1" applyProtection="1">
      <alignment horizontal="center"/>
    </xf>
    <xf numFmtId="1" fontId="7" fillId="0" borderId="0" xfId="1" applyNumberFormat="1" applyFont="1" applyFill="1" applyBorder="1" applyAlignment="1" applyProtection="1">
      <alignment horizontal="center"/>
    </xf>
    <xf numFmtId="0" fontId="0" fillId="0" borderId="0" xfId="0" applyAlignment="1">
      <alignment vertical="center" wrapText="1"/>
    </xf>
    <xf numFmtId="0" fontId="2" fillId="0" borderId="0" xfId="0" applyFont="1" applyAlignment="1">
      <alignment vertical="center" wrapText="1"/>
    </xf>
    <xf numFmtId="0" fontId="12" fillId="0" borderId="0" xfId="0" applyFont="1" applyAlignment="1">
      <alignment vertical="center" wrapText="1"/>
    </xf>
    <xf numFmtId="0" fontId="12" fillId="0" borderId="0" xfId="0" applyFont="1"/>
    <xf numFmtId="0" fontId="12" fillId="0" borderId="0" xfId="0" applyFont="1" applyAlignment="1">
      <alignment vertical="center"/>
    </xf>
    <xf numFmtId="0" fontId="0" fillId="0" borderId="0" xfId="0" applyAlignment="1">
      <alignment vertical="center"/>
    </xf>
    <xf numFmtId="43" fontId="0" fillId="0" borderId="0" xfId="1" applyFont="1" applyAlignment="1" applyProtection="1">
      <alignment horizontal="left" indent="11"/>
    </xf>
    <xf numFmtId="170" fontId="0" fillId="0" borderId="0" xfId="0" applyNumberFormat="1" applyAlignment="1">
      <alignment horizontal="center"/>
    </xf>
    <xf numFmtId="167" fontId="0" fillId="0" borderId="0" xfId="1" applyNumberFormat="1" applyFont="1" applyAlignment="1" applyProtection="1">
      <alignment horizontal="center"/>
    </xf>
    <xf numFmtId="43" fontId="2" fillId="0" borderId="10" xfId="1" applyFont="1" applyBorder="1" applyAlignment="1" applyProtection="1">
      <alignment horizontal="left" indent="11"/>
    </xf>
    <xf numFmtId="43" fontId="0" fillId="0" borderId="0" xfId="1" applyFont="1" applyBorder="1" applyAlignment="1" applyProtection="1">
      <alignment horizontal="right"/>
    </xf>
    <xf numFmtId="0" fontId="0" fillId="0" borderId="0" xfId="0" applyProtection="1">
      <protection locked="0"/>
    </xf>
    <xf numFmtId="0" fontId="27" fillId="0" borderId="0" xfId="0" applyFont="1"/>
    <xf numFmtId="0" fontId="20" fillId="0" borderId="0" xfId="0" applyFont="1"/>
    <xf numFmtId="0" fontId="29" fillId="0" borderId="0" xfId="0" applyFont="1"/>
    <xf numFmtId="0" fontId="34" fillId="0" borderId="0" xfId="0" applyFont="1"/>
    <xf numFmtId="0" fontId="38" fillId="0" borderId="0" xfId="0" applyFont="1"/>
    <xf numFmtId="0" fontId="20" fillId="0" borderId="0" xfId="0" applyFont="1" applyAlignment="1">
      <alignment horizontal="left" indent="5"/>
    </xf>
    <xf numFmtId="0" fontId="27" fillId="0" borderId="0" xfId="0" applyFont="1" applyAlignment="1">
      <alignment horizontal="left" indent="5"/>
    </xf>
    <xf numFmtId="0" fontId="29" fillId="0" borderId="0" xfId="0" applyFont="1" applyAlignment="1">
      <alignment horizontal="left"/>
    </xf>
    <xf numFmtId="0" fontId="34" fillId="0" borderId="0" xfId="0" applyFont="1" applyAlignment="1">
      <alignment horizontal="left" indent="5"/>
    </xf>
    <xf numFmtId="0" fontId="22" fillId="0" borderId="0" xfId="0" applyFont="1" applyAlignment="1" applyProtection="1">
      <alignment horizontal="center"/>
      <protection hidden="1"/>
    </xf>
    <xf numFmtId="49" fontId="22" fillId="0" borderId="0" xfId="0" applyNumberFormat="1" applyFont="1" applyAlignment="1" applyProtection="1">
      <alignment horizontal="center"/>
      <protection hidden="1"/>
    </xf>
    <xf numFmtId="49" fontId="30" fillId="0" borderId="0" xfId="0" applyNumberFormat="1" applyFont="1" applyAlignment="1" applyProtection="1">
      <alignment horizontal="center"/>
      <protection hidden="1"/>
    </xf>
    <xf numFmtId="0" fontId="30" fillId="0" borderId="0" xfId="0" applyFont="1" applyAlignment="1" applyProtection="1">
      <alignment horizontal="center"/>
      <protection hidden="1"/>
    </xf>
    <xf numFmtId="0" fontId="22" fillId="0" borderId="7" xfId="0" applyFont="1" applyBorder="1" applyAlignment="1">
      <alignment horizontal="center"/>
    </xf>
    <xf numFmtId="171" fontId="22" fillId="0" borderId="7" xfId="0" applyNumberFormat="1" applyFont="1" applyBorder="1" applyAlignment="1" applyProtection="1">
      <alignment horizontal="center"/>
      <protection hidden="1"/>
    </xf>
    <xf numFmtId="49" fontId="22" fillId="0" borderId="7" xfId="0" applyNumberFormat="1" applyFont="1" applyBorder="1" applyAlignment="1" applyProtection="1">
      <alignment horizontal="center"/>
      <protection hidden="1"/>
    </xf>
    <xf numFmtId="0" fontId="22" fillId="0" borderId="7" xfId="0" applyFont="1" applyBorder="1" applyAlignment="1" applyProtection="1">
      <alignment horizontal="center"/>
      <protection hidden="1"/>
    </xf>
    <xf numFmtId="170" fontId="22" fillId="0" borderId="7" xfId="0" applyNumberFormat="1" applyFont="1" applyBorder="1" applyAlignment="1" applyProtection="1">
      <alignment horizontal="center"/>
      <protection hidden="1"/>
    </xf>
    <xf numFmtId="0" fontId="22" fillId="0" borderId="8" xfId="0" applyFont="1" applyBorder="1" applyAlignment="1" applyProtection="1">
      <alignment horizontal="center"/>
      <protection hidden="1"/>
    </xf>
    <xf numFmtId="170" fontId="39" fillId="0" borderId="0" xfId="1" applyNumberFormat="1" applyFont="1" applyAlignment="1" applyProtection="1"/>
    <xf numFmtId="0" fontId="2" fillId="0" borderId="0" xfId="0" applyFont="1"/>
    <xf numFmtId="43" fontId="26" fillId="4" borderId="3" xfId="1" applyFont="1" applyFill="1" applyBorder="1" applyAlignment="1" applyProtection="1">
      <alignment horizontal="center"/>
    </xf>
    <xf numFmtId="43" fontId="10" fillId="4" borderId="0" xfId="1" applyFont="1" applyFill="1" applyBorder="1" applyAlignment="1" applyProtection="1">
      <alignment horizontal="center"/>
      <protection locked="0"/>
    </xf>
    <xf numFmtId="49" fontId="10" fillId="4" borderId="0" xfId="1" applyNumberFormat="1" applyFont="1" applyFill="1" applyBorder="1" applyAlignment="1" applyProtection="1">
      <alignment horizontal="center"/>
      <protection locked="0"/>
    </xf>
    <xf numFmtId="49" fontId="17" fillId="4" borderId="0" xfId="0" applyNumberFormat="1" applyFont="1" applyFill="1" applyAlignment="1" applyProtection="1">
      <alignment horizontal="center"/>
      <protection locked="0"/>
    </xf>
    <xf numFmtId="49" fontId="17" fillId="4" borderId="0" xfId="1" applyNumberFormat="1" applyFont="1" applyFill="1" applyBorder="1" applyAlignment="1" applyProtection="1">
      <alignment horizontal="center"/>
      <protection locked="0"/>
    </xf>
    <xf numFmtId="49" fontId="41" fillId="4" borderId="0" xfId="2" applyNumberFormat="1" applyFont="1" applyFill="1" applyBorder="1" applyAlignment="1" applyProtection="1">
      <alignment horizontal="center"/>
      <protection locked="0"/>
    </xf>
    <xf numFmtId="170" fontId="17" fillId="4" borderId="0" xfId="0" applyNumberFormat="1" applyFont="1" applyFill="1" applyAlignment="1" applyProtection="1">
      <alignment horizontal="center"/>
      <protection locked="0"/>
    </xf>
    <xf numFmtId="0" fontId="29" fillId="4" borderId="0" xfId="0" applyFont="1" applyFill="1"/>
    <xf numFmtId="0" fontId="28" fillId="0" borderId="0" xfId="0" applyFont="1"/>
    <xf numFmtId="0" fontId="35" fillId="0" borderId="0" xfId="0" applyFont="1"/>
    <xf numFmtId="0" fontId="31" fillId="0" borderId="0" xfId="0" applyFont="1" applyAlignment="1">
      <alignment horizontal="center"/>
    </xf>
    <xf numFmtId="0" fontId="32" fillId="0" borderId="0" xfId="0" applyFont="1"/>
    <xf numFmtId="0" fontId="20" fillId="0" borderId="0" xfId="0" applyFont="1" applyAlignment="1">
      <alignment horizontal="center"/>
    </xf>
    <xf numFmtId="0" fontId="20" fillId="0" borderId="0" xfId="0" applyFont="1" applyAlignment="1">
      <alignment horizontal="right"/>
    </xf>
    <xf numFmtId="165" fontId="20" fillId="0" borderId="0" xfId="0" applyNumberFormat="1" applyFont="1"/>
    <xf numFmtId="0" fontId="36" fillId="0" borderId="0" xfId="0" applyFont="1"/>
    <xf numFmtId="14" fontId="33" fillId="5" borderId="0" xfId="0" applyNumberFormat="1" applyFont="1" applyFill="1"/>
    <xf numFmtId="164" fontId="20" fillId="0" borderId="0" xfId="0" applyNumberFormat="1" applyFont="1"/>
    <xf numFmtId="164" fontId="33" fillId="5" borderId="0" xfId="0" applyNumberFormat="1" applyFont="1" applyFill="1"/>
    <xf numFmtId="166" fontId="32" fillId="0" borderId="0" xfId="0" applyNumberFormat="1" applyFont="1"/>
    <xf numFmtId="164" fontId="27" fillId="0" borderId="0" xfId="0" applyNumberFormat="1" applyFont="1"/>
    <xf numFmtId="0" fontId="33" fillId="5" borderId="0" xfId="0" applyFont="1" applyFill="1"/>
    <xf numFmtId="164" fontId="27" fillId="5" borderId="0" xfId="0" applyNumberFormat="1" applyFont="1" applyFill="1"/>
    <xf numFmtId="1" fontId="33" fillId="5" borderId="0" xfId="0" applyNumberFormat="1" applyFont="1" applyFill="1"/>
    <xf numFmtId="164" fontId="35" fillId="0" borderId="0" xfId="0" applyNumberFormat="1" applyFont="1"/>
    <xf numFmtId="0" fontId="33" fillId="0" borderId="0" xfId="0" applyFont="1"/>
    <xf numFmtId="0" fontId="20" fillId="0" borderId="0" xfId="0" applyFont="1" applyAlignment="1">
      <alignment horizontal="center" vertical="center" wrapText="1"/>
    </xf>
    <xf numFmtId="165" fontId="33" fillId="5" borderId="0" xfId="0" applyNumberFormat="1" applyFont="1" applyFill="1"/>
    <xf numFmtId="165" fontId="33" fillId="5" borderId="11" xfId="0" applyNumberFormat="1" applyFont="1" applyFill="1" applyBorder="1"/>
    <xf numFmtId="165" fontId="33" fillId="5" borderId="10" xfId="0" applyNumberFormat="1" applyFont="1" applyFill="1" applyBorder="1"/>
    <xf numFmtId="0" fontId="2" fillId="0" borderId="1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8" fillId="0" borderId="0" xfId="0" applyFont="1" applyAlignment="1">
      <alignment horizontal="center"/>
    </xf>
    <xf numFmtId="0" fontId="2" fillId="0" borderId="1"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left"/>
    </xf>
    <xf numFmtId="0" fontId="0" fillId="0" borderId="1" xfId="0" applyBorder="1"/>
    <xf numFmtId="0" fontId="0" fillId="2" borderId="0" xfId="0" applyFill="1" applyAlignment="1">
      <alignment horizontal="center"/>
    </xf>
    <xf numFmtId="0" fontId="0" fillId="0" borderId="5" xfId="0" applyBorder="1"/>
    <xf numFmtId="0" fontId="2" fillId="0" borderId="1" xfId="0" applyFont="1" applyBorder="1"/>
    <xf numFmtId="0" fontId="16" fillId="0" borderId="0" xfId="0" applyFont="1"/>
    <xf numFmtId="0" fontId="3" fillId="0" borderId="0" xfId="0" applyFont="1"/>
    <xf numFmtId="0" fontId="2" fillId="0" borderId="0" xfId="0" applyFont="1" applyAlignment="1">
      <alignment horizontal="right"/>
    </xf>
    <xf numFmtId="0" fontId="9" fillId="0" borderId="0" xfId="0" applyFont="1" applyAlignment="1">
      <alignment horizontal="center"/>
    </xf>
    <xf numFmtId="0" fontId="11" fillId="0" borderId="0" xfId="0" applyFont="1" applyAlignment="1">
      <alignment horizontal="center"/>
    </xf>
    <xf numFmtId="0" fontId="34" fillId="0" borderId="0" xfId="0" applyFont="1" applyAlignment="1">
      <alignment horizontal="center"/>
    </xf>
    <xf numFmtId="0" fontId="28" fillId="0" borderId="0" xfId="0" applyFont="1" applyAlignment="1">
      <alignment horizontal="left" indent="5"/>
    </xf>
    <xf numFmtId="166" fontId="32" fillId="4" borderId="0" xfId="0" applyNumberFormat="1" applyFont="1" applyFill="1"/>
    <xf numFmtId="14" fontId="32" fillId="4" borderId="0" xfId="0" applyNumberFormat="1" applyFont="1" applyFill="1"/>
    <xf numFmtId="43" fontId="6" fillId="4" borderId="0" xfId="1" applyFont="1" applyFill="1" applyBorder="1" applyAlignment="1" applyProtection="1">
      <alignment horizontal="right"/>
    </xf>
    <xf numFmtId="0" fontId="32" fillId="4" borderId="0" xfId="0" applyFont="1" applyFill="1" applyAlignment="1">
      <alignment horizontal="center"/>
    </xf>
    <xf numFmtId="167" fontId="32" fillId="4" borderId="0" xfId="0" applyNumberFormat="1" applyFont="1" applyFill="1" applyAlignment="1">
      <alignment horizontal="center"/>
    </xf>
    <xf numFmtId="0" fontId="32" fillId="4" borderId="0" xfId="0" applyFont="1" applyFill="1" applyAlignment="1">
      <alignment horizontal="right"/>
    </xf>
    <xf numFmtId="0" fontId="35" fillId="0" borderId="0" xfId="0" applyFont="1" applyAlignment="1">
      <alignment horizontal="center"/>
    </xf>
    <xf numFmtId="0" fontId="33" fillId="5" borderId="0" xfId="0" applyFont="1" applyFill="1" applyAlignment="1">
      <alignment horizontal="center"/>
    </xf>
    <xf numFmtId="0" fontId="27" fillId="0" borderId="0" xfId="0" applyFont="1" applyAlignment="1">
      <alignment horizontal="center"/>
    </xf>
    <xf numFmtId="0" fontId="20" fillId="4" borderId="0" xfId="0" applyFont="1" applyFill="1" applyAlignment="1">
      <alignment horizontal="center"/>
    </xf>
    <xf numFmtId="0" fontId="42" fillId="6" borderId="0" xfId="0" applyFont="1" applyFill="1"/>
    <xf numFmtId="0" fontId="43" fillId="6" borderId="0" xfId="0" applyFont="1" applyFill="1"/>
    <xf numFmtId="0" fontId="44" fillId="6" borderId="0" xfId="0" applyFont="1" applyFill="1"/>
    <xf numFmtId="0" fontId="45" fillId="0" borderId="0" xfId="0" applyFont="1"/>
    <xf numFmtId="43" fontId="0" fillId="0" borderId="0" xfId="1" applyFont="1" applyBorder="1" applyAlignment="1" applyProtection="1">
      <alignment vertical="top" wrapText="1"/>
      <protection locked="0"/>
    </xf>
    <xf numFmtId="43" fontId="0" fillId="0" borderId="0" xfId="1" applyFont="1" applyBorder="1" applyProtection="1">
      <protection locked="0"/>
    </xf>
    <xf numFmtId="0" fontId="11" fillId="0" borderId="0" xfId="0" applyFont="1" applyAlignment="1" applyProtection="1">
      <alignment horizontal="center"/>
      <protection locked="0"/>
    </xf>
    <xf numFmtId="0" fontId="40" fillId="3" borderId="0" xfId="0" applyFont="1" applyFill="1" applyAlignment="1" applyProtection="1">
      <alignment horizontal="center" vertical="center" wrapText="1"/>
      <protection locked="0"/>
    </xf>
    <xf numFmtId="174" fontId="7" fillId="0" borderId="0" xfId="1" applyNumberFormat="1" applyFont="1" applyAlignment="1" applyProtection="1">
      <alignment horizontal="right"/>
      <protection locked="0"/>
    </xf>
    <xf numFmtId="43" fontId="7" fillId="0" borderId="0" xfId="1" applyFont="1" applyAlignment="1" applyProtection="1">
      <alignment horizontal="left" indent="11"/>
      <protection locked="0"/>
    </xf>
    <xf numFmtId="167" fontId="7" fillId="0" borderId="0" xfId="0" applyNumberFormat="1" applyFont="1" applyAlignment="1" applyProtection="1">
      <alignment horizontal="right"/>
      <protection locked="0"/>
    </xf>
    <xf numFmtId="43" fontId="9" fillId="0" borderId="10" xfId="1" applyFont="1" applyBorder="1" applyAlignment="1" applyProtection="1">
      <alignment horizontal="left" indent="11"/>
      <protection locked="0"/>
    </xf>
    <xf numFmtId="1" fontId="8" fillId="3" borderId="0" xfId="0" applyNumberFormat="1" applyFont="1" applyFill="1" applyAlignment="1" applyProtection="1">
      <alignment horizontal="center"/>
      <protection locked="0"/>
    </xf>
    <xf numFmtId="0" fontId="12" fillId="0" borderId="0" xfId="0" applyFont="1" applyProtection="1">
      <protection locked="0"/>
    </xf>
    <xf numFmtId="43" fontId="1" fillId="0" borderId="0" xfId="1" applyFont="1" applyAlignment="1" applyProtection="1">
      <protection locked="0"/>
    </xf>
    <xf numFmtId="0" fontId="46" fillId="0" borderId="0" xfId="0" applyFont="1"/>
    <xf numFmtId="0" fontId="47" fillId="0" borderId="0" xfId="0" applyFont="1"/>
    <xf numFmtId="0" fontId="48" fillId="0" borderId="0" xfId="0" applyFont="1"/>
    <xf numFmtId="0" fontId="50" fillId="0" borderId="0" xfId="0" applyFont="1"/>
    <xf numFmtId="0" fontId="49" fillId="0" borderId="0" xfId="0" applyFont="1" applyAlignment="1">
      <alignment horizontal="center"/>
    </xf>
    <xf numFmtId="0" fontId="51" fillId="0" borderId="0" xfId="0" applyFont="1" applyAlignment="1">
      <alignment horizontal="center"/>
    </xf>
    <xf numFmtId="0" fontId="48" fillId="0" borderId="0" xfId="0" applyFont="1" applyProtection="1">
      <protection locked="0"/>
    </xf>
    <xf numFmtId="0" fontId="51" fillId="0" borderId="0" xfId="0" applyFont="1" applyAlignment="1" applyProtection="1">
      <alignment horizontal="center"/>
      <protection locked="0"/>
    </xf>
    <xf numFmtId="175" fontId="1" fillId="0" borderId="0" xfId="0" applyNumberFormat="1" applyFont="1" applyAlignment="1" applyProtection="1">
      <alignment horizontal="right"/>
      <protection locked="0"/>
    </xf>
    <xf numFmtId="0" fontId="53" fillId="0" borderId="0" xfId="0" applyFont="1" applyAlignment="1">
      <alignment horizontal="center"/>
    </xf>
    <xf numFmtId="0" fontId="28" fillId="0" borderId="0" xfId="0" applyFont="1" applyAlignment="1">
      <alignment horizontal="center"/>
    </xf>
    <xf numFmtId="0" fontId="36" fillId="0" borderId="0" xfId="0" applyFont="1" applyAlignment="1">
      <alignment horizontal="center"/>
    </xf>
    <xf numFmtId="0" fontId="53" fillId="6" borderId="0" xfId="0" applyFont="1" applyFill="1" applyAlignment="1">
      <alignment horizontal="center"/>
    </xf>
    <xf numFmtId="0" fontId="28" fillId="4" borderId="0" xfId="0" applyFont="1" applyFill="1" applyAlignment="1">
      <alignment horizontal="center"/>
    </xf>
    <xf numFmtId="0" fontId="31" fillId="5" borderId="0" xfId="0" applyFont="1" applyFill="1" applyAlignment="1">
      <alignment horizontal="center"/>
    </xf>
    <xf numFmtId="0" fontId="37" fillId="6" borderId="0" xfId="0" applyFont="1" applyFill="1" applyAlignment="1">
      <alignment horizontal="center"/>
    </xf>
    <xf numFmtId="170" fontId="39" fillId="0" borderId="0" xfId="1" applyNumberFormat="1" applyFont="1" applyAlignment="1" applyProtection="1">
      <alignment horizontal="right"/>
    </xf>
    <xf numFmtId="170" fontId="32" fillId="4" borderId="0" xfId="0" applyNumberFormat="1" applyFont="1" applyFill="1"/>
    <xf numFmtId="0" fontId="20" fillId="6" borderId="0" xfId="0" applyFont="1" applyFill="1"/>
    <xf numFmtId="14" fontId="20" fillId="0" borderId="0" xfId="0" applyNumberFormat="1" applyFont="1"/>
    <xf numFmtId="165" fontId="22" fillId="0" borderId="7" xfId="0" applyNumberFormat="1" applyFont="1" applyBorder="1" applyAlignment="1" applyProtection="1">
      <alignment horizontal="center"/>
      <protection hidden="1"/>
    </xf>
    <xf numFmtId="170" fontId="22" fillId="0" borderId="14" xfId="0" applyNumberFormat="1" applyFont="1" applyBorder="1" applyAlignment="1" applyProtection="1">
      <alignment horizontal="center"/>
      <protection hidden="1"/>
    </xf>
    <xf numFmtId="165" fontId="20" fillId="0" borderId="0" xfId="0" applyNumberFormat="1" applyFont="1" applyProtection="1">
      <protection hidden="1"/>
    </xf>
    <xf numFmtId="165" fontId="24" fillId="0" borderId="0" xfId="0" applyNumberFormat="1" applyFont="1" applyProtection="1">
      <protection hidden="1"/>
    </xf>
    <xf numFmtId="165" fontId="22" fillId="0" borderId="8" xfId="0" applyNumberFormat="1" applyFont="1" applyBorder="1" applyAlignment="1" applyProtection="1">
      <alignment horizontal="center"/>
      <protection hidden="1"/>
    </xf>
    <xf numFmtId="166" fontId="32" fillId="4" borderId="0" xfId="0" applyNumberFormat="1" applyFont="1" applyFill="1" applyAlignment="1">
      <alignment horizontal="center"/>
    </xf>
    <xf numFmtId="1" fontId="54" fillId="3" borderId="3" xfId="1" applyNumberFormat="1" applyFont="1" applyFill="1" applyBorder="1" applyAlignment="1" applyProtection="1">
      <alignment horizontal="center"/>
    </xf>
    <xf numFmtId="0" fontId="54" fillId="3" borderId="3" xfId="0" applyFont="1" applyFill="1" applyBorder="1" applyAlignment="1">
      <alignment horizontal="center"/>
    </xf>
    <xf numFmtId="1" fontId="40" fillId="3" borderId="12" xfId="1" applyNumberFormat="1" applyFont="1" applyFill="1" applyBorder="1" applyAlignment="1" applyProtection="1">
      <alignment horizontal="center"/>
      <protection locked="0"/>
    </xf>
    <xf numFmtId="0" fontId="54" fillId="3" borderId="3" xfId="0" applyFont="1" applyFill="1" applyBorder="1" applyAlignment="1" applyProtection="1">
      <alignment horizontal="left"/>
      <protection locked="0"/>
    </xf>
    <xf numFmtId="167" fontId="40" fillId="3" borderId="3" xfId="0" applyNumberFormat="1" applyFont="1" applyFill="1" applyBorder="1" applyAlignment="1" applyProtection="1">
      <alignment horizontal="center"/>
      <protection locked="0"/>
    </xf>
    <xf numFmtId="167" fontId="40" fillId="3" borderId="4" xfId="0" applyNumberFormat="1" applyFont="1" applyFill="1" applyBorder="1" applyAlignment="1" applyProtection="1">
      <alignment horizontal="center"/>
      <protection locked="0"/>
    </xf>
    <xf numFmtId="1" fontId="0" fillId="2" borderId="15" xfId="1" applyNumberFormat="1" applyFont="1" applyFill="1" applyBorder="1" applyAlignment="1" applyProtection="1">
      <alignment horizontal="center"/>
    </xf>
    <xf numFmtId="1" fontId="7" fillId="0" borderId="15" xfId="1" applyNumberFormat="1" applyFont="1" applyBorder="1" applyAlignment="1" applyProtection="1">
      <alignment horizontal="left"/>
    </xf>
    <xf numFmtId="1" fontId="7" fillId="0" borderId="15" xfId="0" applyNumberFormat="1" applyFont="1" applyBorder="1" applyAlignment="1">
      <alignment horizontal="left"/>
    </xf>
    <xf numFmtId="1" fontId="7" fillId="0" borderId="15" xfId="1" applyNumberFormat="1" applyFont="1" applyFill="1" applyBorder="1" applyAlignment="1" applyProtection="1">
      <alignment horizontal="left"/>
    </xf>
    <xf numFmtId="1" fontId="54" fillId="3" borderId="16" xfId="1" applyNumberFormat="1" applyFont="1" applyFill="1" applyBorder="1" applyAlignment="1" applyProtection="1">
      <alignment horizontal="center"/>
    </xf>
    <xf numFmtId="1" fontId="40" fillId="3" borderId="16" xfId="1" applyNumberFormat="1" applyFont="1" applyFill="1" applyBorder="1" applyAlignment="1" applyProtection="1">
      <alignment horizontal="center"/>
      <protection locked="0"/>
    </xf>
    <xf numFmtId="1" fontId="54" fillId="3" borderId="15" xfId="0" applyNumberFormat="1" applyFont="1" applyFill="1" applyBorder="1" applyAlignment="1" applyProtection="1">
      <alignment horizontal="left"/>
      <protection locked="0"/>
    </xf>
    <xf numFmtId="0" fontId="7" fillId="2" borderId="0" xfId="0" applyFont="1" applyFill="1" applyAlignment="1">
      <alignment horizontal="center"/>
    </xf>
    <xf numFmtId="0" fontId="12" fillId="2" borderId="0" xfId="0" applyFont="1" applyFill="1" applyAlignment="1">
      <alignment horizontal="left"/>
    </xf>
    <xf numFmtId="3" fontId="0" fillId="2" borderId="0" xfId="0" applyNumberFormat="1" applyFill="1" applyAlignment="1">
      <alignment horizontal="center"/>
    </xf>
    <xf numFmtId="169" fontId="0" fillId="2" borderId="0" xfId="0" applyNumberFormat="1" applyFill="1" applyAlignment="1">
      <alignment horizontal="center"/>
    </xf>
    <xf numFmtId="0" fontId="55" fillId="2" borderId="0" xfId="0" applyFont="1" applyFill="1" applyAlignment="1">
      <alignment horizontal="left"/>
    </xf>
    <xf numFmtId="1" fontId="56" fillId="2" borderId="15" xfId="1" applyNumberFormat="1" applyFont="1" applyFill="1" applyBorder="1" applyAlignment="1" applyProtection="1">
      <alignment horizontal="center"/>
    </xf>
    <xf numFmtId="1" fontId="56" fillId="2" borderId="0" xfId="1" applyNumberFormat="1" applyFont="1" applyFill="1" applyBorder="1" applyAlignment="1" applyProtection="1">
      <alignment horizontal="center"/>
    </xf>
    <xf numFmtId="0" fontId="57" fillId="2" borderId="0" xfId="2" applyFont="1" applyFill="1" applyBorder="1" applyAlignment="1" applyProtection="1">
      <alignment horizontal="left"/>
    </xf>
    <xf numFmtId="1" fontId="59" fillId="2" borderId="15" xfId="1" applyNumberFormat="1" applyFont="1" applyFill="1" applyBorder="1" applyAlignment="1" applyProtection="1">
      <alignment horizontal="center"/>
    </xf>
    <xf numFmtId="0" fontId="60" fillId="7" borderId="17" xfId="0" applyFont="1" applyFill="1" applyBorder="1"/>
    <xf numFmtId="1" fontId="61" fillId="2" borderId="0" xfId="1" applyNumberFormat="1" applyFont="1" applyFill="1" applyBorder="1" applyAlignment="1" applyProtection="1">
      <alignment horizontal="center"/>
    </xf>
    <xf numFmtId="0" fontId="62" fillId="0" borderId="0" xfId="0" applyFont="1" applyAlignment="1">
      <alignment horizontal="center"/>
    </xf>
    <xf numFmtId="167" fontId="2" fillId="0" borderId="0" xfId="1" applyNumberFormat="1" applyFont="1" applyBorder="1" applyAlignment="1" applyProtection="1">
      <alignment horizontal="center"/>
    </xf>
    <xf numFmtId="0" fontId="63" fillId="0" borderId="0" xfId="0" applyFont="1" applyProtection="1">
      <protection locked="0"/>
    </xf>
    <xf numFmtId="0" fontId="4" fillId="2" borderId="0" xfId="0" applyFont="1" applyFill="1" applyAlignment="1">
      <alignment horizontal="left"/>
    </xf>
    <xf numFmtId="0" fontId="64" fillId="0" borderId="0" xfId="0" applyFont="1" applyAlignment="1">
      <alignment horizontal="center"/>
    </xf>
    <xf numFmtId="0" fontId="65" fillId="0" borderId="0" xfId="0" applyFont="1"/>
    <xf numFmtId="0" fontId="64" fillId="0" borderId="0" xfId="0" applyFont="1"/>
    <xf numFmtId="0" fontId="66" fillId="0" borderId="0" xfId="0" applyFont="1"/>
    <xf numFmtId="0" fontId="67" fillId="0" borderId="0" xfId="0" applyFont="1"/>
    <xf numFmtId="0" fontId="68" fillId="0" borderId="0" xfId="0" applyFont="1" applyAlignment="1">
      <alignment horizontal="center"/>
    </xf>
    <xf numFmtId="0" fontId="69" fillId="0" borderId="0" xfId="0" applyFont="1" applyAlignment="1">
      <alignment horizontal="center"/>
    </xf>
    <xf numFmtId="0" fontId="69" fillId="0" borderId="0" xfId="0" applyFont="1"/>
    <xf numFmtId="0" fontId="70" fillId="0" borderId="0" xfId="0" applyFont="1" applyAlignment="1">
      <alignment horizontal="right"/>
    </xf>
    <xf numFmtId="0" fontId="70" fillId="0" borderId="0" xfId="0" applyFont="1" applyAlignment="1">
      <alignment horizontal="center"/>
    </xf>
    <xf numFmtId="0" fontId="68" fillId="0" borderId="0" xfId="0" applyFont="1"/>
    <xf numFmtId="43" fontId="64" fillId="0" borderId="0" xfId="1" applyFont="1" applyFill="1" applyBorder="1" applyAlignment="1" applyProtection="1"/>
    <xf numFmtId="3" fontId="64" fillId="0" borderId="0" xfId="1" applyNumberFormat="1" applyFont="1" applyAlignment="1" applyProtection="1">
      <alignment horizontal="center"/>
    </xf>
    <xf numFmtId="0" fontId="70" fillId="0" borderId="0" xfId="0" applyFont="1"/>
    <xf numFmtId="43" fontId="64" fillId="0" borderId="0" xfId="1" applyFont="1" applyAlignment="1" applyProtection="1"/>
    <xf numFmtId="43" fontId="64" fillId="0" borderId="0" xfId="1" applyFont="1" applyAlignment="1" applyProtection="1">
      <alignment horizontal="center"/>
    </xf>
    <xf numFmtId="3" fontId="64" fillId="2" borderId="0" xfId="0" applyNumberFormat="1" applyFont="1" applyFill="1" applyAlignment="1">
      <alignment horizontal="center"/>
    </xf>
    <xf numFmtId="1" fontId="71" fillId="3" borderId="15" xfId="1" applyNumberFormat="1" applyFont="1" applyFill="1" applyBorder="1" applyAlignment="1" applyProtection="1"/>
    <xf numFmtId="43" fontId="6" fillId="4" borderId="0" xfId="1" applyFont="1" applyFill="1" applyBorder="1" applyAlignment="1" applyProtection="1">
      <alignment horizontal="center"/>
      <protection locked="0"/>
    </xf>
    <xf numFmtId="0" fontId="0" fillId="0" borderId="0" xfId="0" applyAlignment="1">
      <alignment horizontal="left"/>
    </xf>
    <xf numFmtId="0" fontId="0" fillId="0" borderId="0" xfId="0" applyAlignment="1">
      <alignment horizontal="left" indent="12"/>
    </xf>
    <xf numFmtId="1" fontId="40" fillId="3" borderId="16" xfId="1" applyNumberFormat="1" applyFont="1" applyFill="1" applyBorder="1" applyAlignment="1" applyProtection="1">
      <alignment horizontal="left"/>
    </xf>
    <xf numFmtId="1" fontId="54" fillId="3" borderId="15" xfId="1" applyNumberFormat="1" applyFont="1" applyFill="1" applyBorder="1" applyAlignment="1" applyProtection="1">
      <alignment horizontal="center"/>
    </xf>
    <xf numFmtId="1" fontId="54" fillId="3" borderId="0" xfId="1" applyNumberFormat="1" applyFont="1" applyFill="1" applyAlignment="1" applyProtection="1">
      <alignment horizontal="center"/>
    </xf>
    <xf numFmtId="43" fontId="54" fillId="3" borderId="0" xfId="1" applyFont="1" applyFill="1" applyBorder="1" applyAlignment="1" applyProtection="1"/>
    <xf numFmtId="43" fontId="54" fillId="3" borderId="0" xfId="1" applyFont="1" applyFill="1" applyBorder="1" applyAlignment="1" applyProtection="1">
      <alignment horizontal="center"/>
    </xf>
    <xf numFmtId="3" fontId="52" fillId="3" borderId="0" xfId="0" applyNumberFormat="1" applyFont="1" applyFill="1" applyAlignment="1">
      <alignment horizontal="center"/>
    </xf>
    <xf numFmtId="43" fontId="1" fillId="0" borderId="0" xfId="1" applyFont="1" applyAlignment="1" applyProtection="1">
      <alignment horizontal="left" indent="11"/>
    </xf>
    <xf numFmtId="43" fontId="1" fillId="0" borderId="11" xfId="1" applyFont="1" applyBorder="1" applyAlignment="1" applyProtection="1">
      <alignment horizontal="left" indent="11"/>
    </xf>
    <xf numFmtId="43" fontId="1" fillId="0" borderId="0" xfId="1" applyFont="1" applyBorder="1" applyAlignment="1" applyProtection="1">
      <alignment horizontal="left" indent="11"/>
    </xf>
    <xf numFmtId="1" fontId="72" fillId="3" borderId="0" xfId="1" applyNumberFormat="1" applyFont="1" applyFill="1" applyBorder="1" applyAlignment="1" applyProtection="1">
      <alignment horizontal="center"/>
    </xf>
    <xf numFmtId="43" fontId="73" fillId="3" borderId="0" xfId="1" applyFont="1" applyFill="1" applyAlignment="1" applyProtection="1"/>
    <xf numFmtId="167" fontId="72" fillId="3" borderId="0" xfId="1" applyNumberFormat="1" applyFont="1" applyFill="1" applyAlignment="1" applyProtection="1">
      <alignment horizontal="center"/>
    </xf>
    <xf numFmtId="0" fontId="72" fillId="3" borderId="0" xfId="0" applyFont="1" applyFill="1" applyAlignment="1">
      <alignment horizontal="center"/>
    </xf>
    <xf numFmtId="167" fontId="74" fillId="3" borderId="0" xfId="0" applyNumberFormat="1" applyFont="1" applyFill="1" applyAlignment="1">
      <alignment horizontal="center"/>
    </xf>
    <xf numFmtId="1" fontId="54" fillId="3" borderId="0" xfId="0" applyNumberFormat="1" applyFont="1" applyFill="1" applyProtection="1">
      <protection locked="0"/>
    </xf>
    <xf numFmtId="164" fontId="9" fillId="0" borderId="0" xfId="1" applyNumberFormat="1" applyFont="1" applyFill="1" applyBorder="1" applyAlignment="1" applyProtection="1">
      <alignment horizontal="left"/>
    </xf>
    <xf numFmtId="164" fontId="12" fillId="0" borderId="0" xfId="1" applyNumberFormat="1" applyFont="1" applyFill="1" applyBorder="1" applyAlignment="1" applyProtection="1">
      <alignment horizontal="left"/>
    </xf>
    <xf numFmtId="1" fontId="76" fillId="2" borderId="15" xfId="1" applyNumberFormat="1" applyFont="1" applyFill="1" applyBorder="1" applyAlignment="1" applyProtection="1">
      <alignment horizontal="center"/>
    </xf>
    <xf numFmtId="0" fontId="75" fillId="0" borderId="0" xfId="0" applyFont="1" applyAlignment="1">
      <alignment horizontal="left" vertical="center" wrapText="1"/>
    </xf>
    <xf numFmtId="0" fontId="77" fillId="0" borderId="0" xfId="0" applyFont="1"/>
    <xf numFmtId="164" fontId="77" fillId="0" borderId="0" xfId="1" applyNumberFormat="1" applyFont="1" applyBorder="1" applyAlignment="1" applyProtection="1">
      <alignment horizontal="center"/>
    </xf>
    <xf numFmtId="164" fontId="77" fillId="0" borderId="0" xfId="0" applyNumberFormat="1" applyFont="1"/>
    <xf numFmtId="167" fontId="52" fillId="3" borderId="0" xfId="0" applyNumberFormat="1" applyFont="1" applyFill="1" applyAlignment="1" applyProtection="1">
      <alignment horizontal="center" vertical="center" wrapText="1"/>
      <protection locked="0"/>
    </xf>
    <xf numFmtId="0" fontId="58" fillId="0" borderId="0" xfId="0" applyFont="1" applyAlignment="1">
      <alignment horizontal="center"/>
    </xf>
    <xf numFmtId="167" fontId="78" fillId="2" borderId="0" xfId="0" applyNumberFormat="1" applyFont="1" applyFill="1" applyAlignment="1">
      <alignment horizontal="center"/>
    </xf>
    <xf numFmtId="43" fontId="4" fillId="0" borderId="10" xfId="1" applyFont="1" applyBorder="1" applyAlignment="1" applyProtection="1">
      <alignment horizontal="left" indent="11"/>
    </xf>
    <xf numFmtId="165" fontId="4" fillId="0" borderId="10" xfId="1" applyNumberFormat="1" applyFont="1" applyBorder="1" applyAlignment="1" applyProtection="1">
      <alignment horizontal="right"/>
    </xf>
    <xf numFmtId="3" fontId="1" fillId="0" borderId="0" xfId="1" applyNumberFormat="1" applyFont="1" applyAlignment="1" applyProtection="1">
      <alignment horizontal="right"/>
    </xf>
    <xf numFmtId="3" fontId="1" fillId="0" borderId="11" xfId="1" applyNumberFormat="1" applyFont="1" applyBorder="1" applyAlignment="1" applyProtection="1">
      <alignment horizontal="right"/>
    </xf>
    <xf numFmtId="3" fontId="1" fillId="0" borderId="18" xfId="1" applyNumberFormat="1" applyFont="1" applyBorder="1" applyAlignment="1" applyProtection="1">
      <alignment horizontal="right"/>
    </xf>
    <xf numFmtId="43" fontId="2" fillId="0" borderId="0" xfId="1" applyFont="1" applyBorder="1" applyAlignment="1" applyProtection="1">
      <alignment horizontal="left" indent="11"/>
    </xf>
    <xf numFmtId="3" fontId="2" fillId="0" borderId="0" xfId="1" applyNumberFormat="1" applyFont="1" applyBorder="1" applyAlignment="1" applyProtection="1">
      <alignment horizontal="right"/>
    </xf>
    <xf numFmtId="167" fontId="17" fillId="0" borderId="0" xfId="0" applyNumberFormat="1" applyFont="1" applyAlignment="1">
      <alignment horizontal="center"/>
    </xf>
    <xf numFmtId="0" fontId="2" fillId="0" borderId="0" xfId="0" applyFont="1" applyAlignment="1">
      <alignment horizontal="left"/>
    </xf>
    <xf numFmtId="0" fontId="58" fillId="0" borderId="0" xfId="0" applyFont="1" applyAlignment="1">
      <alignment horizontal="left"/>
    </xf>
    <xf numFmtId="165" fontId="0" fillId="0" borderId="0" xfId="1" applyNumberFormat="1" applyFont="1" applyAlignment="1" applyProtection="1">
      <alignment horizontal="center"/>
    </xf>
    <xf numFmtId="165" fontId="2" fillId="0" borderId="10" xfId="1" applyNumberFormat="1" applyFont="1" applyBorder="1" applyAlignment="1" applyProtection="1">
      <alignment horizontal="center"/>
    </xf>
    <xf numFmtId="165" fontId="7" fillId="0" borderId="0" xfId="0" applyNumberFormat="1" applyFont="1" applyAlignment="1" applyProtection="1">
      <alignment horizontal="center"/>
      <protection locked="0"/>
    </xf>
    <xf numFmtId="165" fontId="9" fillId="0" borderId="10" xfId="0" applyNumberFormat="1" applyFont="1" applyBorder="1" applyAlignment="1" applyProtection="1">
      <alignment horizontal="center"/>
      <protection locked="0"/>
    </xf>
    <xf numFmtId="165" fontId="7" fillId="0" borderId="15" xfId="1" applyNumberFormat="1" applyFont="1" applyBorder="1" applyAlignment="1" applyProtection="1">
      <alignment horizontal="right"/>
      <protection locked="0"/>
    </xf>
    <xf numFmtId="1" fontId="54" fillId="3" borderId="15" xfId="0" applyNumberFormat="1" applyFont="1" applyFill="1" applyBorder="1" applyAlignment="1" applyProtection="1">
      <alignment horizontal="center"/>
      <protection locked="0"/>
    </xf>
    <xf numFmtId="1" fontId="64" fillId="0" borderId="0" xfId="0" applyNumberFormat="1" applyFont="1" applyAlignment="1">
      <alignment horizontal="left"/>
    </xf>
    <xf numFmtId="165" fontId="0" fillId="0" borderId="0" xfId="0" applyNumberFormat="1" applyAlignment="1" applyProtection="1">
      <alignment horizontal="center"/>
      <protection locked="0"/>
    </xf>
    <xf numFmtId="176" fontId="22" fillId="0" borderId="14" xfId="1" applyNumberFormat="1" applyFont="1" applyBorder="1" applyAlignment="1" applyProtection="1">
      <alignment horizontal="center"/>
      <protection hidden="1"/>
    </xf>
    <xf numFmtId="176" fontId="22" fillId="0" borderId="19" xfId="1" applyNumberFormat="1" applyFont="1" applyBorder="1" applyAlignment="1" applyProtection="1">
      <alignment horizontal="center"/>
      <protection hidden="1"/>
    </xf>
    <xf numFmtId="176" fontId="22" fillId="0" borderId="7" xfId="1" applyNumberFormat="1" applyFont="1" applyBorder="1" applyAlignment="1" applyProtection="1">
      <alignment horizontal="center"/>
      <protection hidden="1"/>
    </xf>
    <xf numFmtId="165" fontId="22" fillId="0" borderId="7" xfId="1" applyNumberFormat="1" applyFont="1" applyBorder="1" applyAlignment="1" applyProtection="1">
      <alignment horizontal="center"/>
      <protection hidden="1"/>
    </xf>
    <xf numFmtId="165" fontId="20" fillId="0" borderId="0" xfId="1" applyNumberFormat="1" applyFont="1" applyAlignment="1" applyProtection="1">
      <alignment horizontal="center"/>
      <protection hidden="1"/>
    </xf>
    <xf numFmtId="165" fontId="24" fillId="0" borderId="0" xfId="1" applyNumberFormat="1" applyFont="1" applyAlignment="1" applyProtection="1">
      <alignment horizontal="center"/>
      <protection hidden="1"/>
    </xf>
    <xf numFmtId="0" fontId="22" fillId="0" borderId="20" xfId="0" applyFont="1" applyBorder="1" applyAlignment="1" applyProtection="1">
      <alignment horizontal="center"/>
      <protection hidden="1"/>
    </xf>
    <xf numFmtId="165" fontId="22" fillId="0" borderId="20" xfId="0" applyNumberFormat="1" applyFont="1" applyBorder="1" applyAlignment="1" applyProtection="1">
      <alignment horizontal="center"/>
      <protection hidden="1"/>
    </xf>
    <xf numFmtId="0" fontId="4" fillId="0" borderId="0" xfId="0" applyFont="1" applyAlignment="1">
      <alignment horizontal="center"/>
    </xf>
    <xf numFmtId="15" fontId="4" fillId="0" borderId="0" xfId="0" applyNumberFormat="1" applyFont="1" applyAlignment="1">
      <alignment horizontal="center"/>
    </xf>
    <xf numFmtId="165" fontId="4" fillId="0" borderId="0" xfId="0" applyNumberFormat="1" applyFont="1"/>
    <xf numFmtId="168" fontId="1" fillId="0" borderId="0" xfId="1" applyNumberFormat="1" applyFont="1" applyAlignment="1" applyProtection="1">
      <alignment horizontal="right"/>
    </xf>
    <xf numFmtId="0" fontId="58" fillId="0" borderId="0" xfId="0" applyFont="1"/>
    <xf numFmtId="0" fontId="58" fillId="2" borderId="0" xfId="0" applyFont="1" applyFill="1" applyAlignment="1">
      <alignment horizontal="center"/>
    </xf>
    <xf numFmtId="0" fontId="15" fillId="0" borderId="0" xfId="0" applyFont="1"/>
    <xf numFmtId="15" fontId="58" fillId="0" borderId="0" xfId="0" applyNumberFormat="1" applyFont="1"/>
    <xf numFmtId="1" fontId="58" fillId="0" borderId="0" xfId="0" applyNumberFormat="1" applyFont="1" applyAlignment="1">
      <alignment horizontal="center"/>
    </xf>
    <xf numFmtId="14" fontId="58" fillId="0" borderId="0" xfId="0" applyNumberFormat="1" applyFont="1" applyAlignment="1">
      <alignment horizontal="center"/>
    </xf>
    <xf numFmtId="172" fontId="58" fillId="0" borderId="0" xfId="0" applyNumberFormat="1" applyFont="1"/>
    <xf numFmtId="0" fontId="55" fillId="2" borderId="0" xfId="0" applyFont="1" applyFill="1" applyAlignment="1">
      <alignment horizontal="center"/>
    </xf>
    <xf numFmtId="167" fontId="58" fillId="0" borderId="0" xfId="0" applyNumberFormat="1" applyFont="1"/>
    <xf numFmtId="14" fontId="58" fillId="8" borderId="0" xfId="0" applyNumberFormat="1" applyFont="1" applyFill="1" applyAlignment="1">
      <alignment horizontal="center"/>
    </xf>
    <xf numFmtId="172" fontId="58" fillId="8" borderId="0" xfId="0" applyNumberFormat="1" applyFont="1" applyFill="1"/>
    <xf numFmtId="167" fontId="58" fillId="8" borderId="0" xfId="0" applyNumberFormat="1" applyFont="1" applyFill="1"/>
    <xf numFmtId="0" fontId="55" fillId="0" borderId="0" xfId="0" applyFont="1"/>
    <xf numFmtId="165" fontId="58" fillId="0" borderId="0" xfId="0" applyNumberFormat="1" applyFont="1" applyAlignment="1">
      <alignment horizontal="right"/>
    </xf>
    <xf numFmtId="165" fontId="58" fillId="0" borderId="0" xfId="0" applyNumberFormat="1" applyFont="1"/>
    <xf numFmtId="0" fontId="58" fillId="0" borderId="0" xfId="0" applyFont="1" applyAlignment="1">
      <alignment horizontal="right"/>
    </xf>
    <xf numFmtId="1" fontId="4" fillId="2" borderId="0" xfId="1" applyNumberFormat="1" applyFont="1" applyFill="1" applyBorder="1" applyAlignment="1" applyProtection="1">
      <alignment horizontal="center"/>
    </xf>
    <xf numFmtId="49" fontId="1" fillId="0" borderId="0" xfId="0" applyNumberFormat="1" applyFont="1" applyAlignment="1" applyProtection="1">
      <alignment horizontal="left"/>
      <protection locked="0"/>
    </xf>
    <xf numFmtId="165" fontId="4" fillId="0" borderId="0" xfId="0" applyNumberFormat="1" applyFont="1" applyAlignment="1">
      <alignment horizontal="center"/>
    </xf>
    <xf numFmtId="43" fontId="58" fillId="0" borderId="0" xfId="0" applyNumberFormat="1" applyFont="1" applyAlignment="1">
      <alignment horizontal="right"/>
    </xf>
    <xf numFmtId="43" fontId="1" fillId="0" borderId="0" xfId="1" applyFont="1" applyBorder="1" applyProtection="1"/>
    <xf numFmtId="168" fontId="6" fillId="4" borderId="0" xfId="1" applyNumberFormat="1" applyFont="1" applyFill="1" applyBorder="1" applyAlignment="1" applyProtection="1">
      <alignment horizontal="center"/>
      <protection locked="0"/>
    </xf>
    <xf numFmtId="0" fontId="55" fillId="0" borderId="0" xfId="0" applyFont="1" applyAlignment="1">
      <alignment horizontal="right"/>
    </xf>
    <xf numFmtId="165" fontId="55" fillId="0" borderId="0" xfId="0" applyNumberFormat="1" applyFont="1"/>
    <xf numFmtId="165" fontId="15" fillId="0" borderId="0" xfId="0" applyNumberFormat="1" applyFont="1"/>
    <xf numFmtId="3" fontId="6" fillId="4" borderId="0" xfId="1" applyNumberFormat="1" applyFont="1" applyFill="1" applyBorder="1" applyAlignment="1" applyProtection="1">
      <alignment horizontal="center"/>
      <protection locked="0"/>
    </xf>
    <xf numFmtId="164" fontId="6" fillId="4" borderId="0" xfId="1" applyNumberFormat="1" applyFont="1" applyFill="1" applyBorder="1" applyAlignment="1" applyProtection="1">
      <alignment horizontal="center"/>
      <protection locked="0"/>
    </xf>
    <xf numFmtId="3" fontId="58" fillId="2" borderId="0" xfId="0" applyNumberFormat="1" applyFont="1" applyFill="1" applyAlignment="1">
      <alignment horizontal="center"/>
    </xf>
    <xf numFmtId="169" fontId="6" fillId="4" borderId="0" xfId="0" applyNumberFormat="1" applyFont="1" applyFill="1" applyAlignment="1" applyProtection="1">
      <alignment horizontal="center"/>
      <protection locked="0"/>
    </xf>
    <xf numFmtId="1" fontId="58" fillId="0" borderId="0" xfId="0" applyNumberFormat="1" applyFont="1" applyAlignment="1">
      <alignment horizontal="left"/>
    </xf>
    <xf numFmtId="43" fontId="58" fillId="0" borderId="0" xfId="0" applyNumberFormat="1" applyFont="1"/>
    <xf numFmtId="169" fontId="58" fillId="2" borderId="0" xfId="0" applyNumberFormat="1" applyFont="1" applyFill="1" applyAlignment="1">
      <alignment horizontal="center"/>
    </xf>
    <xf numFmtId="164" fontId="6" fillId="2" borderId="0" xfId="1" applyNumberFormat="1" applyFont="1" applyFill="1" applyBorder="1" applyAlignment="1" applyProtection="1">
      <alignment horizontal="center"/>
    </xf>
    <xf numFmtId="164" fontId="15" fillId="2" borderId="0" xfId="1" applyNumberFormat="1" applyFont="1" applyFill="1" applyBorder="1" applyAlignment="1" applyProtection="1">
      <alignment horizontal="left"/>
    </xf>
    <xf numFmtId="43" fontId="58" fillId="0" borderId="0" xfId="1" applyFont="1" applyAlignment="1" applyProtection="1">
      <alignment horizontal="left"/>
    </xf>
    <xf numFmtId="167" fontId="55" fillId="2" borderId="0" xfId="0" applyNumberFormat="1" applyFont="1" applyFill="1" applyAlignment="1">
      <alignment horizontal="center"/>
    </xf>
    <xf numFmtId="167" fontId="55" fillId="0" borderId="0" xfId="0" applyNumberFormat="1" applyFont="1" applyAlignment="1">
      <alignment horizontal="center"/>
    </xf>
    <xf numFmtId="2" fontId="58" fillId="0" borderId="0" xfId="0" applyNumberFormat="1" applyFont="1"/>
    <xf numFmtId="173" fontId="58" fillId="0" borderId="0" xfId="0" applyNumberFormat="1" applyFont="1"/>
    <xf numFmtId="167" fontId="9" fillId="0" borderId="0" xfId="0" applyNumberFormat="1" applyFont="1" applyAlignment="1">
      <alignment horizontal="center"/>
    </xf>
    <xf numFmtId="165" fontId="58" fillId="0" borderId="0" xfId="0" applyNumberFormat="1" applyFont="1" applyAlignment="1">
      <alignment horizontal="center"/>
    </xf>
    <xf numFmtId="167" fontId="15" fillId="2" borderId="0" xfId="0" applyNumberFormat="1" applyFont="1" applyFill="1" applyAlignment="1">
      <alignment horizontal="center"/>
    </xf>
    <xf numFmtId="43" fontId="75" fillId="0" borderId="0" xfId="1" applyFont="1" applyBorder="1" applyAlignment="1" applyProtection="1">
      <alignment horizontal="left" indent="11"/>
    </xf>
    <xf numFmtId="165" fontId="75" fillId="0" borderId="0" xfId="1" applyNumberFormat="1" applyFont="1" applyBorder="1" applyAlignment="1" applyProtection="1">
      <alignment horizontal="right"/>
    </xf>
    <xf numFmtId="165" fontId="1" fillId="0" borderId="0" xfId="1" applyNumberFormat="1" applyFont="1" applyBorder="1" applyAlignment="1" applyProtection="1">
      <alignment horizontal="right"/>
    </xf>
    <xf numFmtId="43" fontId="58" fillId="0" borderId="0" xfId="1" applyFont="1" applyAlignment="1" applyProtection="1"/>
    <xf numFmtId="167" fontId="58" fillId="0" borderId="0" xfId="1" applyNumberFormat="1" applyFont="1" applyAlignment="1" applyProtection="1"/>
    <xf numFmtId="0" fontId="15" fillId="0" borderId="0" xfId="0" applyFont="1" applyAlignment="1">
      <alignment horizontal="left"/>
    </xf>
    <xf numFmtId="164" fontId="1" fillId="4" borderId="0" xfId="1" applyNumberFormat="1" applyFont="1" applyFill="1" applyBorder="1" applyAlignment="1" applyProtection="1">
      <alignment horizontal="center"/>
    </xf>
    <xf numFmtId="167" fontId="4" fillId="0" borderId="0" xfId="0" applyNumberFormat="1" applyFont="1"/>
    <xf numFmtId="0" fontId="1" fillId="0" borderId="0" xfId="0" applyFont="1" applyAlignment="1">
      <alignment horizontal="left"/>
    </xf>
    <xf numFmtId="167" fontId="58" fillId="0" borderId="2" xfId="1" applyNumberFormat="1" applyFont="1" applyBorder="1" applyAlignment="1" applyProtection="1"/>
    <xf numFmtId="166" fontId="2" fillId="0" borderId="0" xfId="1" applyNumberFormat="1" applyFont="1" applyBorder="1" applyAlignment="1" applyProtection="1">
      <alignment horizontal="center"/>
    </xf>
    <xf numFmtId="43" fontId="4" fillId="0" borderId="0" xfId="1" applyFont="1" applyAlignment="1" applyProtection="1"/>
    <xf numFmtId="167" fontId="4" fillId="0" borderId="0" xfId="1" applyNumberFormat="1" applyFont="1" applyBorder="1" applyAlignment="1" applyProtection="1"/>
    <xf numFmtId="43" fontId="15" fillId="0" borderId="0" xfId="1" applyFont="1" applyBorder="1" applyAlignment="1" applyProtection="1"/>
    <xf numFmtId="43" fontId="15" fillId="0" borderId="10" xfId="1" applyFont="1" applyBorder="1" applyAlignment="1" applyProtection="1"/>
    <xf numFmtId="167" fontId="4" fillId="0" borderId="10" xfId="0" applyNumberFormat="1" applyFont="1" applyBorder="1"/>
    <xf numFmtId="0" fontId="15" fillId="0" borderId="0" xfId="0" applyFont="1" applyAlignment="1">
      <alignment horizontal="center"/>
    </xf>
    <xf numFmtId="43" fontId="58" fillId="0" borderId="10" xfId="1" applyFont="1" applyBorder="1" applyAlignment="1" applyProtection="1"/>
    <xf numFmtId="167" fontId="58" fillId="0" borderId="10" xfId="0" applyNumberFormat="1" applyFont="1" applyBorder="1"/>
    <xf numFmtId="0" fontId="12" fillId="0" borderId="0" xfId="0" applyFont="1" applyAlignment="1" applyProtection="1">
      <alignment horizontal="center"/>
      <protection locked="0"/>
    </xf>
    <xf numFmtId="0" fontId="58" fillId="0" borderId="0" xfId="0" applyFont="1" applyProtection="1">
      <protection locked="0"/>
    </xf>
    <xf numFmtId="4" fontId="58" fillId="0" borderId="0" xfId="0" applyNumberFormat="1" applyFont="1"/>
    <xf numFmtId="167" fontId="8" fillId="3" borderId="3" xfId="0" applyNumberFormat="1" applyFont="1" applyFill="1" applyBorder="1" applyAlignment="1">
      <alignment horizontal="center"/>
    </xf>
    <xf numFmtId="167" fontId="8" fillId="3" borderId="4" xfId="0" applyNumberFormat="1" applyFont="1" applyFill="1" applyBorder="1" applyAlignment="1">
      <alignment horizontal="center"/>
    </xf>
    <xf numFmtId="167" fontId="58" fillId="0" borderId="0" xfId="0" applyNumberFormat="1" applyFont="1" applyAlignment="1">
      <alignment horizontal="right"/>
    </xf>
    <xf numFmtId="167" fontId="9" fillId="0" borderId="15" xfId="0" applyNumberFormat="1" applyFont="1" applyBorder="1" applyAlignment="1" applyProtection="1">
      <alignment horizontal="center" vertical="center" wrapText="1"/>
      <protection locked="0"/>
    </xf>
    <xf numFmtId="167" fontId="9" fillId="0" borderId="0" xfId="0" applyNumberFormat="1" applyFont="1" applyAlignment="1" applyProtection="1">
      <alignment horizontal="center" vertical="center" wrapText="1"/>
      <protection locked="0"/>
    </xf>
    <xf numFmtId="0" fontId="15" fillId="3" borderId="0" xfId="0" applyFont="1" applyFill="1" applyAlignment="1" applyProtection="1">
      <alignment horizontal="left" vertical="center" wrapText="1" indent="11"/>
      <protection locked="0"/>
    </xf>
    <xf numFmtId="167" fontId="55" fillId="2" borderId="0" xfId="0" applyNumberFormat="1" applyFont="1" applyFill="1" applyAlignment="1" applyProtection="1">
      <alignment horizontal="center"/>
      <protection locked="0"/>
    </xf>
    <xf numFmtId="165" fontId="17" fillId="4" borderId="0" xfId="0" applyNumberFormat="1" applyFont="1" applyFill="1" applyAlignment="1" applyProtection="1">
      <alignment horizontal="center"/>
      <protection locked="0"/>
    </xf>
    <xf numFmtId="0" fontId="15" fillId="2" borderId="0" xfId="0" applyFont="1" applyFill="1" applyAlignment="1" applyProtection="1">
      <alignment horizontal="center" vertical="center" wrapText="1"/>
      <protection locked="0"/>
    </xf>
    <xf numFmtId="167" fontId="4" fillId="0" borderId="10" xfId="1" applyNumberFormat="1" applyFont="1" applyBorder="1" applyAlignment="1" applyProtection="1"/>
    <xf numFmtId="0" fontId="4" fillId="2" borderId="0" xfId="0" applyFont="1" applyFill="1" applyProtection="1">
      <protection locked="0"/>
    </xf>
    <xf numFmtId="0" fontId="15" fillId="0" borderId="0" xfId="0" applyFont="1" applyAlignment="1" applyProtection="1">
      <alignment horizontal="center"/>
      <protection locked="0"/>
    </xf>
    <xf numFmtId="167" fontId="15" fillId="2" borderId="0" xfId="0" applyNumberFormat="1" applyFont="1" applyFill="1" applyAlignment="1" applyProtection="1">
      <alignment horizontal="center"/>
      <protection locked="0"/>
    </xf>
    <xf numFmtId="1" fontId="58" fillId="2" borderId="1" xfId="1" applyNumberFormat="1" applyFont="1" applyFill="1" applyBorder="1" applyAlignment="1" applyProtection="1">
      <alignment horizontal="center"/>
    </xf>
    <xf numFmtId="167" fontId="15" fillId="0" borderId="0" xfId="0" applyNumberFormat="1"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167" fontId="55" fillId="0" borderId="0" xfId="1" applyNumberFormat="1" applyFont="1" applyAlignment="1" applyProtection="1">
      <alignment horizontal="right"/>
      <protection locked="0"/>
    </xf>
    <xf numFmtId="172" fontId="55" fillId="0" borderId="0" xfId="0" applyNumberFormat="1" applyFont="1" applyAlignment="1" applyProtection="1">
      <alignment horizontal="center"/>
      <protection locked="0"/>
    </xf>
    <xf numFmtId="4" fontId="58" fillId="0" borderId="0" xfId="0" applyNumberFormat="1" applyFont="1" applyProtection="1">
      <protection locked="0"/>
    </xf>
    <xf numFmtId="1" fontId="58" fillId="2" borderId="0" xfId="1" applyNumberFormat="1" applyFont="1" applyFill="1" applyBorder="1" applyAlignment="1" applyProtection="1">
      <alignment horizontal="center"/>
    </xf>
    <xf numFmtId="167" fontId="58" fillId="0" borderId="0" xfId="0" applyNumberFormat="1" applyFont="1" applyProtection="1">
      <protection locked="0"/>
    </xf>
    <xf numFmtId="167" fontId="55" fillId="0" borderId="10" xfId="1" applyNumberFormat="1" applyFont="1" applyBorder="1" applyAlignment="1" applyProtection="1">
      <alignment horizontal="right"/>
      <protection locked="0"/>
    </xf>
    <xf numFmtId="167" fontId="15" fillId="0" borderId="10" xfId="0" applyNumberFormat="1" applyFont="1" applyBorder="1" applyAlignment="1" applyProtection="1">
      <alignment horizontal="center"/>
      <protection locked="0"/>
    </xf>
    <xf numFmtId="1" fontId="58" fillId="0" borderId="0" xfId="1" applyNumberFormat="1" applyFont="1" applyFill="1" applyBorder="1" applyAlignment="1" applyProtection="1">
      <alignment horizontal="center"/>
    </xf>
    <xf numFmtId="0" fontId="12" fillId="0" borderId="0" xfId="0" applyFont="1" applyAlignment="1">
      <alignment horizontal="left"/>
    </xf>
    <xf numFmtId="0" fontId="15" fillId="0" borderId="0" xfId="0" applyFont="1" applyAlignment="1" applyProtection="1">
      <alignment horizontal="left"/>
      <protection locked="0"/>
    </xf>
    <xf numFmtId="0" fontId="12" fillId="0" borderId="0" xfId="0" applyFont="1" applyAlignment="1" applyProtection="1">
      <alignment horizontal="left"/>
      <protection locked="0"/>
    </xf>
    <xf numFmtId="43" fontId="1" fillId="0" borderId="0" xfId="1" applyFont="1" applyBorder="1" applyAlignment="1" applyProtection="1">
      <alignment horizontal="right"/>
    </xf>
    <xf numFmtId="0" fontId="9" fillId="0" borderId="7" xfId="0" applyFont="1" applyBorder="1"/>
    <xf numFmtId="0" fontId="15" fillId="0" borderId="5" xfId="0" applyFont="1" applyBorder="1" applyAlignment="1">
      <alignment horizontal="center"/>
    </xf>
    <xf numFmtId="0" fontId="15" fillId="0" borderId="5" xfId="0" applyFont="1" applyBorder="1"/>
    <xf numFmtId="0" fontId="15" fillId="0" borderId="13" xfId="0" applyFont="1" applyBorder="1"/>
    <xf numFmtId="0" fontId="15" fillId="0" borderId="2" xfId="0" applyFont="1" applyBorder="1"/>
    <xf numFmtId="0" fontId="15" fillId="0" borderId="6" xfId="0" applyFont="1" applyBorder="1"/>
    <xf numFmtId="43" fontId="1" fillId="0" borderId="9" xfId="1" applyFont="1" applyBorder="1" applyAlignment="1" applyProtection="1">
      <alignment vertical="center"/>
    </xf>
    <xf numFmtId="0" fontId="1" fillId="0" borderId="0" xfId="0" applyFont="1" applyAlignment="1">
      <alignment vertical="center" wrapText="1"/>
    </xf>
    <xf numFmtId="0" fontId="9" fillId="0" borderId="7" xfId="0" applyFont="1" applyBorder="1" applyAlignment="1">
      <alignment horizontal="center"/>
    </xf>
    <xf numFmtId="171" fontId="9" fillId="0" borderId="7" xfId="0" applyNumberFormat="1" applyFont="1" applyBorder="1" applyAlignment="1" applyProtection="1">
      <alignment horizontal="center"/>
      <protection hidden="1"/>
    </xf>
    <xf numFmtId="49" fontId="9" fillId="0" borderId="7" xfId="0" applyNumberFormat="1" applyFont="1" applyBorder="1" applyAlignment="1" applyProtection="1">
      <alignment horizontal="center"/>
      <protection hidden="1"/>
    </xf>
    <xf numFmtId="43" fontId="20" fillId="4" borderId="0" xfId="1" applyFont="1" applyFill="1" applyBorder="1" applyAlignment="1" applyProtection="1">
      <alignment horizontal="left"/>
    </xf>
  </cellXfs>
  <cellStyles count="3">
    <cellStyle name="Comma" xfId="1" builtinId="3"/>
    <cellStyle name="Hyperlink" xfId="2" builtinId="8"/>
    <cellStyle name="Normal" xfId="0" builtinId="0"/>
  </cellStyles>
  <dxfs count="6">
    <dxf>
      <font>
        <condense val="0"/>
        <extend val="0"/>
        <color indexed="9"/>
      </font>
      <fill>
        <patternFill>
          <bgColor indexed="9"/>
        </patternFill>
      </fill>
    </dxf>
    <dxf>
      <fill>
        <patternFill>
          <bgColor indexed="8"/>
        </patternFill>
      </fill>
    </dxf>
    <dxf>
      <fill>
        <patternFill>
          <bgColor indexed="8"/>
        </patternFill>
      </fill>
    </dxf>
    <dxf>
      <font>
        <strike val="0"/>
        <outline val="0"/>
        <shadow val="0"/>
        <vertAlign val="baseline"/>
        <color indexed="10"/>
        <name val="Arial"/>
        <scheme val="none"/>
      </font>
    </dxf>
    <dxf>
      <font>
        <strike val="0"/>
        <outline val="0"/>
        <shadow val="0"/>
        <vertAlign val="baseline"/>
        <color indexed="10"/>
        <name val="Arial"/>
        <scheme val="none"/>
      </font>
    </dxf>
    <dxf>
      <font>
        <b/>
        <i val="0"/>
        <strike val="0"/>
        <condense val="0"/>
        <extend val="0"/>
        <outline val="0"/>
        <shadow val="0"/>
        <u val="none"/>
        <vertAlign val="baseline"/>
        <sz val="10"/>
        <color indexed="10"/>
        <name val="Arial"/>
        <scheme val="none"/>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1010285</xdr:colOff>
      <xdr:row>46</xdr:row>
      <xdr:rowOff>1481</xdr:rowOff>
    </xdr:from>
    <xdr:to>
      <xdr:col>2</xdr:col>
      <xdr:colOff>4317188</xdr:colOff>
      <xdr:row>46</xdr:row>
      <xdr:rowOff>1481</xdr:rowOff>
    </xdr:to>
    <xdr:sp macro="" textlink="">
      <xdr:nvSpPr>
        <xdr:cNvPr id="1025" name="Text Box 1">
          <a:extLst>
            <a:ext uri="{FF2B5EF4-FFF2-40B4-BE49-F238E27FC236}">
              <a16:creationId xmlns:a16="http://schemas.microsoft.com/office/drawing/2014/main" id="{92BC683F-1A07-3F41-6580-B623A45452AD}"/>
            </a:ext>
          </a:extLst>
        </xdr:cNvPr>
        <xdr:cNvSpPr txBox="1">
          <a:spLocks noChangeArrowheads="1"/>
        </xdr:cNvSpPr>
      </xdr:nvSpPr>
      <xdr:spPr bwMode="auto">
        <a:xfrm>
          <a:off x="2133600" y="7993380"/>
          <a:ext cx="4259580" cy="9982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100"/>
            </a:lnSpc>
            <a:defRPr sz="1000"/>
          </a:pPr>
          <a:r>
            <a:rPr lang="en-GB" sz="1000" b="1" i="0" u="sng" strike="noStrike" baseline="0">
              <a:solidFill>
                <a:srgbClr val="000000"/>
              </a:solidFill>
              <a:latin typeface="Arial"/>
              <a:cs typeface="Arial"/>
            </a:rPr>
            <a:t>These are the maximum estimated figures</a:t>
          </a: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a:cs typeface="Arial"/>
            </a:rPr>
            <a:t>Your costs may be different depending on where you stay in London and whether you have your dependent children with you in London. If you believe your costs will be different, then please adjust the weekly figures in the boxes. There is an undisclosed maximum value and if you exceed this value then your expected costs will be disallowed without full justification.</a:t>
          </a:r>
        </a:p>
      </xdr:txBody>
    </xdr:sp>
    <xdr:clientData/>
  </xdr:twoCellAnchor>
  <xdr:twoCellAnchor editAs="oneCell">
    <xdr:from>
      <xdr:col>0</xdr:col>
      <xdr:colOff>76200</xdr:colOff>
      <xdr:row>0</xdr:row>
      <xdr:rowOff>152400</xdr:rowOff>
    </xdr:from>
    <xdr:to>
      <xdr:col>2</xdr:col>
      <xdr:colOff>2076450</xdr:colOff>
      <xdr:row>10</xdr:row>
      <xdr:rowOff>19050</xdr:rowOff>
    </xdr:to>
    <xdr:pic>
      <xdr:nvPicPr>
        <xdr:cNvPr id="1296" name="Picture 1">
          <a:extLst>
            <a:ext uri="{FF2B5EF4-FFF2-40B4-BE49-F238E27FC236}">
              <a16:creationId xmlns:a16="http://schemas.microsoft.com/office/drawing/2014/main" id="{5AAA0551-3760-9D66-84E6-F57F85FB3E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4203700" cy="1797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2846705</xdr:colOff>
      <xdr:row>37</xdr:row>
      <xdr:rowOff>0</xdr:rowOff>
    </xdr:from>
    <xdr:to>
      <xdr:col>6</xdr:col>
      <xdr:colOff>4865332</xdr:colOff>
      <xdr:row>42</xdr:row>
      <xdr:rowOff>76260</xdr:rowOff>
    </xdr:to>
    <xdr:sp macro="" textlink="">
      <xdr:nvSpPr>
        <xdr:cNvPr id="13326" name="Text Box 14">
          <a:extLst>
            <a:ext uri="{FF2B5EF4-FFF2-40B4-BE49-F238E27FC236}">
              <a16:creationId xmlns:a16="http://schemas.microsoft.com/office/drawing/2014/main" id="{43385425-976E-C4BE-A915-8A29F3F58A28}"/>
            </a:ext>
          </a:extLst>
        </xdr:cNvPr>
        <xdr:cNvSpPr txBox="1">
          <a:spLocks noChangeArrowheads="1"/>
        </xdr:cNvSpPr>
      </xdr:nvSpPr>
      <xdr:spPr bwMode="auto">
        <a:xfrm>
          <a:off x="10683240" y="6225540"/>
          <a:ext cx="1958340" cy="9144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32004" rIns="0" bIns="0" anchor="t" upright="1"/>
        <a:lstStyle/>
        <a:p>
          <a:pPr algn="l" rtl="0">
            <a:defRPr sz="1000"/>
          </a:pPr>
          <a:r>
            <a:rPr lang="en-GB" sz="1400" b="1" i="0" u="none" strike="noStrike" baseline="0">
              <a:solidFill>
                <a:srgbClr val="FF0000"/>
              </a:solidFill>
              <a:latin typeface="Arial"/>
              <a:cs typeface="Arial"/>
            </a:rPr>
            <a:t>If you don't like my rate and want to use another then put it in cell I44 -red box</a:t>
          </a:r>
        </a:p>
      </xdr:txBody>
    </xdr:sp>
    <xdr:clientData/>
  </xdr:twoCellAnchor>
  <xdr:twoCellAnchor>
    <xdr:from>
      <xdr:col>6</xdr:col>
      <xdr:colOff>4870450</xdr:colOff>
      <xdr:row>42</xdr:row>
      <xdr:rowOff>69850</xdr:rowOff>
    </xdr:from>
    <xdr:to>
      <xdr:col>7</xdr:col>
      <xdr:colOff>977900</xdr:colOff>
      <xdr:row>43</xdr:row>
      <xdr:rowOff>114300</xdr:rowOff>
    </xdr:to>
    <xdr:sp macro="" textlink="">
      <xdr:nvSpPr>
        <xdr:cNvPr id="5330" name="Line 16">
          <a:extLst>
            <a:ext uri="{FF2B5EF4-FFF2-40B4-BE49-F238E27FC236}">
              <a16:creationId xmlns:a16="http://schemas.microsoft.com/office/drawing/2014/main" id="{C2D05681-4E4C-8CED-7123-A2ACD1413950}"/>
            </a:ext>
          </a:extLst>
        </xdr:cNvPr>
        <xdr:cNvSpPr>
          <a:spLocks noChangeShapeType="1"/>
        </xdr:cNvSpPr>
      </xdr:nvSpPr>
      <xdr:spPr bwMode="auto">
        <a:xfrm>
          <a:off x="12903200" y="7010400"/>
          <a:ext cx="1187450" cy="209550"/>
        </a:xfrm>
        <a:prstGeom prst="line">
          <a:avLst/>
        </a:prstGeom>
        <a:noFill/>
        <a:ln w="571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800100</xdr:colOff>
      <xdr:row>49</xdr:row>
      <xdr:rowOff>171450</xdr:rowOff>
    </xdr:from>
    <xdr:to>
      <xdr:col>3</xdr:col>
      <xdr:colOff>0</xdr:colOff>
      <xdr:row>56</xdr:row>
      <xdr:rowOff>6350</xdr:rowOff>
    </xdr:to>
    <xdr:pic>
      <xdr:nvPicPr>
        <xdr:cNvPr id="2132" name="Picture 1">
          <a:extLst>
            <a:ext uri="{FF2B5EF4-FFF2-40B4-BE49-F238E27FC236}">
              <a16:creationId xmlns:a16="http://schemas.microsoft.com/office/drawing/2014/main" id="{9CD102C3-87E6-7471-FBEE-0DD0EC6FE1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4800" y="9696450"/>
          <a:ext cx="2908300" cy="121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1200150</xdr:colOff>
      <xdr:row>41</xdr:row>
      <xdr:rowOff>114300</xdr:rowOff>
    </xdr:from>
    <xdr:to>
      <xdr:col>1</xdr:col>
      <xdr:colOff>4102100</xdr:colOff>
      <xdr:row>47</xdr:row>
      <xdr:rowOff>139700</xdr:rowOff>
    </xdr:to>
    <xdr:pic>
      <xdr:nvPicPr>
        <xdr:cNvPr id="6227" name="Picture 2">
          <a:extLst>
            <a:ext uri="{FF2B5EF4-FFF2-40B4-BE49-F238E27FC236}">
              <a16:creationId xmlns:a16="http://schemas.microsoft.com/office/drawing/2014/main" id="{3428FA95-AC0B-0B3C-8186-15A0EAFCE4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4850" y="8020050"/>
          <a:ext cx="2901950" cy="120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1" displayName="List1" ref="G8:G10" totalsRowShown="0" headerRowDxfId="5" dataDxfId="4">
  <autoFilter ref="G8:G10" xr:uid="{00000000-0009-0000-0100-000001000000}"/>
  <tableColumns count="1">
    <tableColumn id="1" xr3:uid="{00000000-0010-0000-0000-000001000000}" name="Depend" dataDxfId="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fafsa.ed.gov/FAFSA/app/schoolSearch?locale=en_EN"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35"/>
  <sheetViews>
    <sheetView tabSelected="1" workbookViewId="0">
      <selection activeCell="D14" sqref="D14"/>
    </sheetView>
  </sheetViews>
  <sheetFormatPr defaultRowHeight="12.75" x14ac:dyDescent="0.2"/>
  <cols>
    <col min="1" max="1" width="122.85546875" style="74" bestFit="1" customWidth="1"/>
  </cols>
  <sheetData>
    <row r="1" spans="1:1" s="48" customFormat="1" ht="18.75" x14ac:dyDescent="0.3">
      <c r="A1" s="77" t="s">
        <v>0</v>
      </c>
    </row>
    <row r="2" spans="1:1" s="48" customFormat="1" ht="18.75" x14ac:dyDescent="0.3">
      <c r="A2" s="77"/>
    </row>
    <row r="3" spans="1:1" ht="15.75" x14ac:dyDescent="0.25">
      <c r="A3" s="75" t="s">
        <v>1</v>
      </c>
    </row>
    <row r="4" spans="1:1" x14ac:dyDescent="0.2">
      <c r="A4" s="78" t="s">
        <v>2</v>
      </c>
    </row>
    <row r="5" spans="1:1" x14ac:dyDescent="0.2">
      <c r="A5" s="78" t="s">
        <v>3</v>
      </c>
    </row>
    <row r="6" spans="1:1" x14ac:dyDescent="0.2">
      <c r="A6" s="79" t="s">
        <v>4</v>
      </c>
    </row>
    <row r="8" spans="1:1" ht="15.75" x14ac:dyDescent="0.25">
      <c r="A8" s="80" t="s">
        <v>5</v>
      </c>
    </row>
    <row r="9" spans="1:1" x14ac:dyDescent="0.2">
      <c r="A9" s="78" t="s">
        <v>6</v>
      </c>
    </row>
    <row r="10" spans="1:1" x14ac:dyDescent="0.2">
      <c r="A10" s="78" t="s">
        <v>7</v>
      </c>
    </row>
    <row r="11" spans="1:1" x14ac:dyDescent="0.2">
      <c r="A11" s="78" t="s">
        <v>8</v>
      </c>
    </row>
    <row r="12" spans="1:1" x14ac:dyDescent="0.2">
      <c r="A12" s="78"/>
    </row>
    <row r="13" spans="1:1" s="42" customFormat="1" ht="15.75" x14ac:dyDescent="0.25">
      <c r="A13" s="75" t="s">
        <v>9</v>
      </c>
    </row>
    <row r="14" spans="1:1" x14ac:dyDescent="0.2">
      <c r="A14" s="74" t="s">
        <v>10</v>
      </c>
    </row>
    <row r="15" spans="1:1" x14ac:dyDescent="0.2">
      <c r="A15" s="78" t="s">
        <v>11</v>
      </c>
    </row>
    <row r="16" spans="1:1" x14ac:dyDescent="0.2">
      <c r="A16" s="78" t="s">
        <v>12</v>
      </c>
    </row>
    <row r="17" spans="1:1" x14ac:dyDescent="0.2">
      <c r="A17" s="78" t="s">
        <v>13</v>
      </c>
    </row>
    <row r="18" spans="1:1" x14ac:dyDescent="0.2">
      <c r="A18" s="78" t="s">
        <v>14</v>
      </c>
    </row>
    <row r="19" spans="1:1" x14ac:dyDescent="0.2">
      <c r="A19" s="78" t="s">
        <v>15</v>
      </c>
    </row>
    <row r="20" spans="1:1" x14ac:dyDescent="0.2">
      <c r="A20" s="78" t="s">
        <v>16</v>
      </c>
    </row>
    <row r="21" spans="1:1" x14ac:dyDescent="0.2">
      <c r="A21" s="78" t="s">
        <v>17</v>
      </c>
    </row>
    <row r="23" spans="1:1" s="42" customFormat="1" ht="15.75" x14ac:dyDescent="0.25">
      <c r="A23" s="75" t="s">
        <v>18</v>
      </c>
    </row>
    <row r="24" spans="1:1" x14ac:dyDescent="0.2">
      <c r="A24" s="74" t="s">
        <v>19</v>
      </c>
    </row>
    <row r="25" spans="1:1" x14ac:dyDescent="0.2">
      <c r="A25" s="78" t="s">
        <v>20</v>
      </c>
    </row>
    <row r="26" spans="1:1" x14ac:dyDescent="0.2">
      <c r="A26" s="79" t="s">
        <v>21</v>
      </c>
    </row>
    <row r="28" spans="1:1" s="42" customFormat="1" ht="15.75" x14ac:dyDescent="0.25">
      <c r="A28" s="75" t="s">
        <v>22</v>
      </c>
    </row>
    <row r="29" spans="1:1" s="49" customFormat="1" x14ac:dyDescent="0.2">
      <c r="A29" s="78" t="s">
        <v>455</v>
      </c>
    </row>
    <row r="30" spans="1:1" x14ac:dyDescent="0.2">
      <c r="A30" s="78" t="s">
        <v>23</v>
      </c>
    </row>
    <row r="31" spans="1:1" s="49" customFormat="1" x14ac:dyDescent="0.2">
      <c r="A31" s="73"/>
    </row>
    <row r="32" spans="1:1" x14ac:dyDescent="0.2">
      <c r="A32" s="76" t="s">
        <v>24</v>
      </c>
    </row>
    <row r="33" spans="1:1" x14ac:dyDescent="0.2">
      <c r="A33" s="81" t="s">
        <v>25</v>
      </c>
    </row>
    <row r="34" spans="1:1" x14ac:dyDescent="0.2">
      <c r="A34" s="140" t="s">
        <v>26</v>
      </c>
    </row>
    <row r="35" spans="1:1" ht="15.75" x14ac:dyDescent="0.25">
      <c r="A35" s="141" t="s">
        <v>27</v>
      </c>
    </row>
  </sheetData>
  <sheetProtection selectLockedCells="1" selectUnlockedCells="1"/>
  <phoneticPr fontId="5" type="noConversion"/>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108"/>
  <sheetViews>
    <sheetView topLeftCell="A64" zoomScale="70" zoomScaleNormal="70" workbookViewId="0">
      <selection activeCell="D36" sqref="D36"/>
    </sheetView>
  </sheetViews>
  <sheetFormatPr defaultColWidth="9.140625" defaultRowHeight="12.75" x14ac:dyDescent="0.2"/>
  <cols>
    <col min="1" max="1" width="16.85546875" style="30" customWidth="1"/>
    <col min="2" max="2" width="14.7109375" style="30" customWidth="1"/>
    <col min="3" max="3" width="99.7109375" customWidth="1"/>
    <col min="4" max="4" width="31.85546875" style="15" customWidth="1"/>
    <col min="5" max="5" width="21.42578125" style="15" customWidth="1"/>
    <col min="6" max="6" width="12" style="227" customWidth="1"/>
    <col min="7" max="7" width="45.28515625" style="228" hidden="1" customWidth="1"/>
    <col min="8" max="8" width="62.28515625" style="228" hidden="1" customWidth="1"/>
    <col min="9" max="9" width="18.5703125" style="228" hidden="1" customWidth="1"/>
    <col min="10" max="10" width="20.85546875" style="228" hidden="1" customWidth="1"/>
    <col min="11" max="11" width="15.85546875" style="228" hidden="1" customWidth="1"/>
    <col min="12" max="12" width="20.5703125" style="228" hidden="1" customWidth="1"/>
    <col min="13" max="13" width="20.140625" style="228" hidden="1" customWidth="1"/>
    <col min="14" max="14" width="16.140625" style="228" hidden="1" customWidth="1"/>
    <col min="15" max="15" width="12" style="228" hidden="1" customWidth="1"/>
    <col min="16" max="16" width="7.5703125" style="228" hidden="1" customWidth="1"/>
    <col min="17" max="17" width="7.7109375" style="228" customWidth="1"/>
    <col min="18" max="18" width="5.42578125" style="228" customWidth="1"/>
    <col min="19" max="19" width="7.5703125" style="169" customWidth="1"/>
    <col min="20" max="24" width="9.140625" style="169"/>
  </cols>
  <sheetData>
    <row r="1" spans="1:24" s="136" customFormat="1" ht="20.25" x14ac:dyDescent="0.3">
      <c r="A1" s="2"/>
      <c r="B1" s="2"/>
      <c r="D1" s="4"/>
      <c r="E1" s="5"/>
      <c r="F1" s="221"/>
      <c r="G1" s="222"/>
      <c r="H1" s="222"/>
      <c r="I1" s="222"/>
      <c r="J1" s="222"/>
      <c r="K1" s="222"/>
      <c r="L1" s="223"/>
      <c r="M1" s="223"/>
      <c r="N1" s="223"/>
      <c r="O1" s="223"/>
      <c r="P1" s="223"/>
      <c r="Q1" s="223"/>
      <c r="R1" s="223"/>
      <c r="S1" s="167"/>
      <c r="T1" s="167"/>
      <c r="U1" s="167"/>
      <c r="V1" s="167"/>
      <c r="W1" s="167"/>
      <c r="X1" s="167"/>
    </row>
    <row r="2" spans="1:24" s="136" customFormat="1" ht="18" customHeight="1" x14ac:dyDescent="0.3">
      <c r="A2" s="2"/>
      <c r="B2" s="2"/>
      <c r="C2" s="3" t="s">
        <v>28</v>
      </c>
      <c r="D2" s="4"/>
      <c r="E2" s="5" t="s">
        <v>29</v>
      </c>
      <c r="F2" s="221"/>
      <c r="G2" s="223"/>
      <c r="H2" s="222"/>
      <c r="I2" s="222"/>
      <c r="J2" s="223"/>
      <c r="K2" s="223"/>
      <c r="L2" s="223"/>
      <c r="M2" s="223"/>
      <c r="N2" s="223"/>
      <c r="O2" s="223"/>
      <c r="P2" s="223"/>
      <c r="Q2" s="223"/>
      <c r="R2" s="223"/>
      <c r="S2" s="167"/>
      <c r="T2" s="167"/>
      <c r="U2" s="167"/>
      <c r="V2" s="167"/>
      <c r="W2" s="167"/>
      <c r="X2" s="167"/>
    </row>
    <row r="3" spans="1:24" s="93" customFormat="1" ht="18" customHeight="1" x14ac:dyDescent="0.3">
      <c r="A3" s="6"/>
      <c r="B3" s="6"/>
      <c r="C3" s="3" t="s">
        <v>30</v>
      </c>
      <c r="D3" s="8"/>
      <c r="E3" s="9"/>
      <c r="F3" s="293"/>
      <c r="G3" s="49"/>
      <c r="H3" s="224"/>
      <c r="I3" s="224"/>
      <c r="J3" s="49"/>
      <c r="K3" s="49"/>
      <c r="L3" s="49"/>
      <c r="M3" s="49"/>
      <c r="N3" s="49"/>
      <c r="O3" s="49"/>
      <c r="P3" s="49"/>
      <c r="Q3" s="49"/>
      <c r="R3" s="49"/>
      <c r="S3" s="168"/>
      <c r="T3" s="168"/>
      <c r="U3" s="168"/>
      <c r="V3" s="168"/>
      <c r="W3" s="168"/>
      <c r="X3" s="168"/>
    </row>
    <row r="4" spans="1:24" s="93" customFormat="1" ht="18" customHeight="1" x14ac:dyDescent="0.3">
      <c r="A4" s="6"/>
      <c r="B4" s="6"/>
      <c r="C4" s="3" t="str">
        <f>"for Academic Year "&amp; 'School DATA'!D6</f>
        <v>for Academic Year 2024/25</v>
      </c>
      <c r="E4" s="217"/>
      <c r="F4" s="293"/>
      <c r="G4" s="49"/>
      <c r="H4" s="224"/>
      <c r="I4" s="224"/>
      <c r="J4" s="49"/>
      <c r="K4" s="49"/>
      <c r="L4" s="49"/>
      <c r="M4" s="49"/>
      <c r="N4" s="49"/>
      <c r="O4" s="49"/>
      <c r="P4" s="49"/>
      <c r="Q4" s="49"/>
      <c r="R4" s="49"/>
      <c r="S4" s="168"/>
      <c r="T4" s="168"/>
      <c r="U4" s="168"/>
      <c r="V4" s="168"/>
      <c r="W4" s="168"/>
      <c r="X4" s="168"/>
    </row>
    <row r="5" spans="1:24" s="93" customFormat="1" x14ac:dyDescent="0.2">
      <c r="A5" s="6"/>
      <c r="B5" s="6"/>
      <c r="C5" s="7" t="s">
        <v>31</v>
      </c>
      <c r="F5" s="294"/>
      <c r="G5" s="49"/>
      <c r="H5" s="295">
        <f>'School DATA'!H49</f>
        <v>78078</v>
      </c>
      <c r="I5" s="225" t="s">
        <v>32</v>
      </c>
      <c r="J5" s="224"/>
      <c r="K5" s="224"/>
      <c r="L5" s="49"/>
      <c r="M5" s="49"/>
      <c r="N5" s="49"/>
      <c r="O5" s="49"/>
      <c r="P5" s="49"/>
      <c r="Q5" s="49"/>
      <c r="R5" s="49"/>
      <c r="S5" s="168"/>
      <c r="T5" s="168"/>
      <c r="U5" s="168"/>
      <c r="V5" s="168"/>
      <c r="W5" s="168"/>
      <c r="X5" s="168"/>
    </row>
    <row r="6" spans="1:24" s="93" customFormat="1" x14ac:dyDescent="0.2">
      <c r="A6" s="6"/>
      <c r="B6" s="6"/>
      <c r="C6" s="137" t="s">
        <v>33</v>
      </c>
      <c r="E6" s="92">
        <f>'School DATA'!I30</f>
        <v>45444</v>
      </c>
      <c r="F6" s="294"/>
      <c r="G6" s="49"/>
      <c r="H6" s="295">
        <f>'School DATA'!H51</f>
        <v>81379.137839999996</v>
      </c>
      <c r="I6" s="225" t="s">
        <v>34</v>
      </c>
      <c r="J6" s="224"/>
      <c r="K6" s="224"/>
      <c r="L6" s="49"/>
      <c r="M6" s="49"/>
      <c r="N6" s="49"/>
      <c r="O6" s="49"/>
      <c r="P6" s="49"/>
      <c r="Q6" s="49"/>
      <c r="R6" s="49"/>
      <c r="S6" s="168"/>
      <c r="T6" s="168"/>
      <c r="U6" s="168"/>
      <c r="V6" s="168"/>
      <c r="W6" s="168"/>
      <c r="X6" s="168"/>
    </row>
    <row r="7" spans="1:24" s="93" customFormat="1" x14ac:dyDescent="0.2">
      <c r="A7" s="6"/>
      <c r="B7" s="6"/>
      <c r="C7" s="7" t="s">
        <v>35</v>
      </c>
      <c r="D7" s="93">
        <f>IF(('School DATA'!I45&gt;0),'School DATA'!I45,'School DATA'!H45)</f>
        <v>1.3</v>
      </c>
      <c r="E7" s="183" t="str">
        <f>'School DATA'!J30</f>
        <v>London</v>
      </c>
      <c r="F7" s="293"/>
      <c r="G7" s="49"/>
      <c r="H7" s="225"/>
      <c r="I7" s="224"/>
      <c r="J7" s="49"/>
      <c r="K7" s="49"/>
      <c r="L7" s="49"/>
      <c r="M7" s="49"/>
      <c r="N7" s="49"/>
      <c r="O7" s="49"/>
      <c r="P7" s="49"/>
      <c r="Q7" s="49"/>
      <c r="R7" s="49"/>
      <c r="S7" s="168"/>
      <c r="T7" s="168"/>
      <c r="U7" s="168"/>
      <c r="V7" s="168"/>
      <c r="W7" s="168"/>
      <c r="X7" s="168"/>
    </row>
    <row r="8" spans="1:24" s="93" customFormat="1" x14ac:dyDescent="0.2">
      <c r="A8" s="6"/>
      <c r="B8" s="6"/>
      <c r="C8" s="11" t="s">
        <v>36</v>
      </c>
      <c r="D8" s="10"/>
      <c r="E8" s="183">
        <f>'School DATA'!I31</f>
        <v>45658</v>
      </c>
      <c r="F8" s="293"/>
      <c r="G8" s="49" t="s">
        <v>37</v>
      </c>
      <c r="H8" s="226" t="s">
        <v>38</v>
      </c>
      <c r="I8" s="226" t="s">
        <v>39</v>
      </c>
      <c r="J8" s="231" t="s">
        <v>40</v>
      </c>
      <c r="K8" s="49"/>
      <c r="L8" s="49"/>
      <c r="M8" s="49"/>
      <c r="N8" s="49"/>
      <c r="O8" s="49"/>
      <c r="P8" s="49"/>
      <c r="Q8" s="49"/>
      <c r="R8" s="49"/>
      <c r="S8" s="168"/>
      <c r="T8" s="168"/>
      <c r="U8" s="168"/>
      <c r="V8" s="168"/>
      <c r="W8" s="168"/>
      <c r="X8" s="168"/>
    </row>
    <row r="9" spans="1:24" s="93" customFormat="1" x14ac:dyDescent="0.2">
      <c r="A9" s="6"/>
      <c r="B9" s="6"/>
      <c r="C9" s="11" t="s">
        <v>41</v>
      </c>
      <c r="D9" s="296">
        <f>'School DATA'!E11</f>
        <v>42</v>
      </c>
      <c r="E9" s="9"/>
      <c r="F9" s="293"/>
      <c r="G9" s="49" t="s">
        <v>42</v>
      </c>
      <c r="H9" s="265" t="s">
        <v>43</v>
      </c>
      <c r="I9" s="265">
        <v>1</v>
      </c>
      <c r="J9" s="297" t="s">
        <v>44</v>
      </c>
      <c r="K9" s="49"/>
      <c r="L9" s="49"/>
      <c r="M9" s="49"/>
      <c r="N9" s="49"/>
      <c r="O9" s="49"/>
      <c r="P9" s="49"/>
      <c r="Q9" s="49"/>
      <c r="R9" s="49"/>
      <c r="S9" s="168"/>
      <c r="T9" s="168"/>
      <c r="U9" s="168"/>
      <c r="V9" s="168"/>
      <c r="W9" s="168"/>
      <c r="X9" s="168"/>
    </row>
    <row r="10" spans="1:24" x14ac:dyDescent="0.2">
      <c r="A10" s="12"/>
      <c r="B10" s="12"/>
      <c r="C10" s="11" t="s">
        <v>45</v>
      </c>
      <c r="D10" s="296">
        <f>'School DATA'!E13</f>
        <v>52</v>
      </c>
      <c r="E10" s="9"/>
      <c r="F10" s="265"/>
      <c r="G10" s="297" t="s">
        <v>46</v>
      </c>
      <c r="H10" s="265" t="s">
        <v>47</v>
      </c>
      <c r="I10" s="265">
        <v>2</v>
      </c>
      <c r="J10" s="297" t="s">
        <v>48</v>
      </c>
      <c r="K10" s="297"/>
      <c r="L10" s="297"/>
      <c r="M10" s="297"/>
      <c r="N10" s="297"/>
      <c r="O10" s="297"/>
      <c r="P10" s="297"/>
      <c r="Q10" s="297"/>
      <c r="R10" s="297"/>
    </row>
    <row r="11" spans="1:24" ht="13.5" thickBot="1" x14ac:dyDescent="0.25">
      <c r="A11" s="12"/>
      <c r="B11" s="12"/>
      <c r="C11" s="13"/>
      <c r="D11" s="14"/>
      <c r="F11" s="265"/>
      <c r="G11" s="297"/>
      <c r="H11" s="265"/>
      <c r="I11" s="265" t="s">
        <v>49</v>
      </c>
      <c r="J11" s="297"/>
      <c r="K11" s="297"/>
      <c r="L11" s="297"/>
      <c r="M11" s="49" t="s">
        <v>50</v>
      </c>
      <c r="N11" s="49"/>
      <c r="O11" s="297"/>
      <c r="P11" s="297"/>
      <c r="Q11" s="297"/>
      <c r="R11" s="297"/>
    </row>
    <row r="12" spans="1:24" ht="18.75" thickBot="1" x14ac:dyDescent="0.3">
      <c r="A12" s="17"/>
      <c r="B12" s="17"/>
      <c r="C12" s="94" t="s">
        <v>51</v>
      </c>
      <c r="D12" s="17"/>
      <c r="E12" s="132"/>
      <c r="F12" s="298"/>
      <c r="G12" s="297" t="s">
        <v>52</v>
      </c>
      <c r="H12" s="299" t="s">
        <v>53</v>
      </c>
      <c r="I12" s="299" t="s">
        <v>54</v>
      </c>
      <c r="J12" s="297"/>
      <c r="K12" s="297"/>
      <c r="L12" s="299" t="s">
        <v>55</v>
      </c>
      <c r="M12" s="299" t="s">
        <v>56</v>
      </c>
      <c r="N12" s="49" t="s">
        <v>57</v>
      </c>
      <c r="O12" s="297"/>
      <c r="P12" s="297"/>
      <c r="Q12" s="297"/>
      <c r="R12" s="297"/>
    </row>
    <row r="13" spans="1:24" ht="15.75" x14ac:dyDescent="0.25">
      <c r="A13" s="242">
        <v>1</v>
      </c>
      <c r="B13" s="242"/>
      <c r="C13" s="242" t="s">
        <v>58</v>
      </c>
      <c r="D13" s="242"/>
      <c r="E13" s="242"/>
      <c r="F13" s="242"/>
      <c r="G13" s="297" t="s">
        <v>59</v>
      </c>
      <c r="H13" s="265" t="s">
        <v>60</v>
      </c>
      <c r="I13" s="265" t="s">
        <v>61</v>
      </c>
      <c r="J13" s="300">
        <f>'School DATA'!D7</f>
        <v>45551</v>
      </c>
      <c r="K13" s="297"/>
      <c r="L13" s="301">
        <f>IF(OR(D34="Y",D37="N")*OR(D37="Y",D34="N"),3,2)</f>
        <v>2</v>
      </c>
      <c r="M13" s="302">
        <f>'School DATA'!D18</f>
        <v>45572</v>
      </c>
      <c r="N13" s="303">
        <f>ROUND(IF(M13="","",D86/L13),0)</f>
        <v>19460</v>
      </c>
      <c r="O13" s="303">
        <f>ROUND((IF((ISNUMBER(M13)),(E86/L13),"")),0)</f>
        <v>18724</v>
      </c>
      <c r="P13" s="297"/>
      <c r="Q13" s="297"/>
      <c r="R13" s="297"/>
    </row>
    <row r="14" spans="1:24" ht="15.75" x14ac:dyDescent="0.25">
      <c r="A14" s="200" t="s">
        <v>62</v>
      </c>
      <c r="B14" s="59"/>
      <c r="C14" s="95" t="s">
        <v>63</v>
      </c>
      <c r="D14" s="18"/>
      <c r="E14" s="206"/>
      <c r="F14" s="304"/>
      <c r="G14" s="297"/>
      <c r="H14" s="265"/>
      <c r="I14" s="265" t="s">
        <v>64</v>
      </c>
      <c r="J14" s="300">
        <f>'School DATA'!D11</f>
        <v>45845</v>
      </c>
      <c r="K14" s="297"/>
      <c r="L14" s="265" t="s">
        <v>65</v>
      </c>
      <c r="M14" s="302">
        <f>IF(('School DATA'!D19&gt;10/10/2010),'School DATA'!D19,"")</f>
        <v>45698</v>
      </c>
      <c r="N14" s="303">
        <f>ROUND(IF(M14="","",D86/L13),0)</f>
        <v>19460</v>
      </c>
      <c r="O14" s="305">
        <f>ROUND((IF((ISNUMBER(M14)),(E86/L13),"")),0)</f>
        <v>18724</v>
      </c>
      <c r="P14" s="297"/>
      <c r="Q14" s="297"/>
      <c r="R14" s="297"/>
    </row>
    <row r="15" spans="1:24" ht="15.75" x14ac:dyDescent="0.25">
      <c r="A15" s="201" t="s">
        <v>66</v>
      </c>
      <c r="B15" s="29"/>
      <c r="C15" s="95" t="s">
        <v>67</v>
      </c>
      <c r="D15" s="18"/>
      <c r="E15" s="206"/>
      <c r="F15" s="304"/>
      <c r="G15" s="297"/>
      <c r="H15" s="265" t="s">
        <v>68</v>
      </c>
      <c r="I15" s="265" t="s">
        <v>61</v>
      </c>
      <c r="J15" s="300">
        <f>'School DATA'!D7</f>
        <v>45551</v>
      </c>
      <c r="K15" s="297"/>
      <c r="L15" s="265" t="s">
        <v>69</v>
      </c>
      <c r="M15" s="306" t="str">
        <f>IF(L13&lt;3,"",'School DATA'!D20)</f>
        <v/>
      </c>
      <c r="N15" s="307">
        <f>ROUND(IF(M15="","0",D86/L13),0)</f>
        <v>0</v>
      </c>
      <c r="O15" s="308">
        <f>ROUND(IF(M15="","0",E86/L13),0)</f>
        <v>0</v>
      </c>
      <c r="P15" s="297" t="s">
        <v>70</v>
      </c>
      <c r="Q15" s="297"/>
      <c r="R15" s="297"/>
    </row>
    <row r="16" spans="1:24" ht="15" x14ac:dyDescent="0.2">
      <c r="A16" s="202" t="s">
        <v>71</v>
      </c>
      <c r="B16" s="60"/>
      <c r="C16" s="98" t="s">
        <v>449</v>
      </c>
      <c r="D16" s="18"/>
      <c r="E16" s="206"/>
      <c r="F16" s="304"/>
      <c r="G16" s="297"/>
      <c r="H16" s="265"/>
      <c r="I16" s="265" t="s">
        <v>64</v>
      </c>
      <c r="J16" s="300">
        <f>'School DATA'!E7</f>
        <v>45915</v>
      </c>
      <c r="K16" s="297"/>
      <c r="L16" s="265"/>
      <c r="M16" s="302" t="str">
        <f>IF(('School DATA'!D21&gt;10/10/2010),'School DATA'!D21,"")</f>
        <v/>
      </c>
      <c r="N16" s="303" t="str">
        <f>IF((ISNUMBER(M16)),(ROUND((D86/L13),0)),"")</f>
        <v/>
      </c>
      <c r="O16" s="303"/>
      <c r="P16" s="297"/>
      <c r="Q16" s="297"/>
      <c r="R16" s="297"/>
    </row>
    <row r="17" spans="1:24" ht="15" x14ac:dyDescent="0.2">
      <c r="A17" s="202" t="s">
        <v>72</v>
      </c>
      <c r="B17" s="60"/>
      <c r="C17" s="98" t="s">
        <v>448</v>
      </c>
      <c r="D17" s="18"/>
      <c r="E17" s="206"/>
      <c r="F17" s="304"/>
      <c r="G17" s="297" t="s">
        <v>73</v>
      </c>
      <c r="H17" s="297"/>
      <c r="I17" s="297"/>
      <c r="J17" s="297"/>
      <c r="K17" s="297"/>
      <c r="L17" s="297"/>
      <c r="M17" s="297"/>
      <c r="N17" s="303">
        <f>SUM(N13:N15)</f>
        <v>38920</v>
      </c>
      <c r="O17" s="303">
        <f>SUM(O13:O15)</f>
        <v>37448</v>
      </c>
      <c r="P17" s="297" t="s">
        <v>74</v>
      </c>
      <c r="Q17" s="297"/>
      <c r="R17" s="297"/>
    </row>
    <row r="18" spans="1:24" ht="15" x14ac:dyDescent="0.2">
      <c r="A18" s="202" t="s">
        <v>75</v>
      </c>
      <c r="B18" s="60"/>
      <c r="C18" s="98" t="s">
        <v>447</v>
      </c>
      <c r="D18" s="18"/>
      <c r="E18" s="206"/>
      <c r="F18" s="304"/>
      <c r="G18" s="297" t="s">
        <v>76</v>
      </c>
      <c r="H18" s="297"/>
      <c r="I18" s="297"/>
      <c r="J18" s="297"/>
      <c r="K18" s="297"/>
      <c r="L18" s="297"/>
      <c r="M18" s="297"/>
      <c r="N18" s="297"/>
      <c r="O18" s="297"/>
      <c r="P18" s="297"/>
      <c r="Q18" s="297"/>
      <c r="R18" s="297"/>
    </row>
    <row r="19" spans="1:24" ht="15" x14ac:dyDescent="0.2">
      <c r="A19" s="202" t="s">
        <v>77</v>
      </c>
      <c r="B19" s="60"/>
      <c r="C19" s="98" t="s">
        <v>450</v>
      </c>
      <c r="D19" s="18"/>
      <c r="E19" s="206"/>
      <c r="F19" s="304"/>
      <c r="G19" s="297" t="s">
        <v>78</v>
      </c>
      <c r="H19" s="297"/>
      <c r="I19" s="297"/>
      <c r="J19" s="297"/>
      <c r="K19" s="297"/>
      <c r="L19" s="297"/>
      <c r="M19" s="297"/>
      <c r="N19" s="297"/>
      <c r="O19" s="297"/>
      <c r="P19" s="297"/>
      <c r="Q19" s="297"/>
      <c r="R19" s="297"/>
    </row>
    <row r="20" spans="1:24" ht="15.75" x14ac:dyDescent="0.25">
      <c r="A20" s="200" t="s">
        <v>79</v>
      </c>
      <c r="B20" s="21"/>
      <c r="C20" s="98" t="s">
        <v>80</v>
      </c>
      <c r="D20" s="18"/>
      <c r="E20" s="206"/>
      <c r="F20" s="304"/>
      <c r="G20" s="297" t="s">
        <v>81</v>
      </c>
      <c r="H20" s="297"/>
      <c r="I20" s="297"/>
      <c r="J20" s="297"/>
      <c r="K20" s="299"/>
      <c r="L20" s="297"/>
      <c r="M20" s="297"/>
      <c r="N20" s="297"/>
      <c r="O20" s="297"/>
      <c r="P20" s="297"/>
      <c r="Q20" s="297"/>
      <c r="R20" s="297"/>
    </row>
    <row r="21" spans="1:24" ht="15" x14ac:dyDescent="0.2">
      <c r="A21" s="200" t="s">
        <v>82</v>
      </c>
      <c r="B21" s="21"/>
      <c r="C21" s="99" t="s">
        <v>83</v>
      </c>
      <c r="D21" s="18"/>
      <c r="E21" s="206"/>
      <c r="F21" s="304"/>
      <c r="G21" s="49" t="s">
        <v>84</v>
      </c>
      <c r="H21" s="49" t="s">
        <v>84</v>
      </c>
      <c r="I21" s="49" t="s">
        <v>85</v>
      </c>
      <c r="J21" s="297"/>
      <c r="K21" s="49" t="s">
        <v>86</v>
      </c>
      <c r="L21" s="297"/>
      <c r="M21" s="297"/>
      <c r="N21" s="297"/>
      <c r="O21" s="297"/>
      <c r="P21" s="297"/>
      <c r="Q21" s="297"/>
      <c r="R21" s="297"/>
    </row>
    <row r="22" spans="1:24" ht="15.75" x14ac:dyDescent="0.25">
      <c r="A22" s="200" t="s">
        <v>87</v>
      </c>
      <c r="B22" s="21"/>
      <c r="C22" s="100">
        <v>19358</v>
      </c>
      <c r="D22" s="18"/>
      <c r="E22" s="206"/>
      <c r="F22" s="304"/>
      <c r="G22" s="229" t="s">
        <v>88</v>
      </c>
      <c r="H22" s="230" t="s">
        <v>89</v>
      </c>
      <c r="I22" s="230" t="s">
        <v>90</v>
      </c>
      <c r="J22" s="309"/>
      <c r="K22" s="309" t="s">
        <v>88</v>
      </c>
      <c r="L22" s="230" t="s">
        <v>89</v>
      </c>
      <c r="M22" s="230" t="s">
        <v>90</v>
      </c>
      <c r="N22" s="230"/>
      <c r="O22" s="309"/>
      <c r="P22" s="309"/>
      <c r="Q22" s="309"/>
      <c r="R22" s="297"/>
    </row>
    <row r="23" spans="1:24" ht="15.75" x14ac:dyDescent="0.25">
      <c r="A23" s="201" t="s">
        <v>91</v>
      </c>
      <c r="B23" s="29"/>
      <c r="C23" s="96" t="s">
        <v>92</v>
      </c>
      <c r="D23" s="18"/>
      <c r="E23" s="206"/>
      <c r="F23" s="304"/>
      <c r="G23" s="310">
        <f>IF(D34="Y",0,K23)</f>
        <v>0</v>
      </c>
      <c r="H23" s="310">
        <f>IF((D34="N"),K23,0)</f>
        <v>0</v>
      </c>
      <c r="I23" s="311">
        <f>IF((D34="N"),M23,0)</f>
        <v>0</v>
      </c>
      <c r="J23" s="297" t="s">
        <v>93</v>
      </c>
      <c r="K23" s="297">
        <v>0</v>
      </c>
      <c r="L23" s="309">
        <v>0</v>
      </c>
      <c r="M23" s="297">
        <v>20500</v>
      </c>
      <c r="N23" s="297"/>
      <c r="O23" s="309"/>
      <c r="P23" s="309"/>
      <c r="Q23" s="309"/>
      <c r="R23" s="297"/>
    </row>
    <row r="24" spans="1:24" s="1" customFormat="1" ht="15" x14ac:dyDescent="0.2">
      <c r="A24" s="200" t="s">
        <v>94</v>
      </c>
      <c r="B24" s="59"/>
      <c r="C24" s="97" t="s">
        <v>95</v>
      </c>
      <c r="D24" s="18"/>
      <c r="E24" s="206"/>
      <c r="F24" s="304"/>
      <c r="G24" s="310">
        <f>IF((AND(D34="Y",D35="N",D38=1)),K24,0)</f>
        <v>3500</v>
      </c>
      <c r="H24" s="297">
        <f>IF((AND(D34="Y",D39="D",D38=1)),L24,0)</f>
        <v>2000</v>
      </c>
      <c r="I24" s="297">
        <f>IF((AND(D34="Y",D39="I",D38=1)),M24,0)</f>
        <v>0</v>
      </c>
      <c r="J24" s="297" t="s">
        <v>96</v>
      </c>
      <c r="K24" s="297">
        <v>3500</v>
      </c>
      <c r="L24" s="297">
        <v>2000</v>
      </c>
      <c r="M24" s="297">
        <v>6000</v>
      </c>
      <c r="N24" s="297"/>
      <c r="O24" s="309"/>
      <c r="P24" s="309"/>
      <c r="Q24" s="309"/>
      <c r="R24" s="309"/>
      <c r="S24" s="170"/>
      <c r="T24" s="170"/>
      <c r="U24" s="170"/>
      <c r="V24" s="170"/>
      <c r="W24" s="170"/>
      <c r="X24" s="170"/>
    </row>
    <row r="25" spans="1:24" s="1" customFormat="1" ht="15" x14ac:dyDescent="0.2">
      <c r="A25" s="200" t="s">
        <v>97</v>
      </c>
      <c r="B25" s="59"/>
      <c r="C25" s="97" t="s">
        <v>98</v>
      </c>
      <c r="D25" s="18"/>
      <c r="E25" s="206"/>
      <c r="F25" s="298"/>
      <c r="G25" s="310">
        <f>IF((AND(D34="Y",D35="N",D38=2)),K25,0)</f>
        <v>0</v>
      </c>
      <c r="H25" s="297">
        <f>IF((AND(D34="Y",D39="D",D38=2)),L25,0)</f>
        <v>0</v>
      </c>
      <c r="I25" s="297">
        <f>IF((AND(D34="Y",D39="I",D38=2)),M25,0)</f>
        <v>0</v>
      </c>
      <c r="J25" s="297" t="s">
        <v>99</v>
      </c>
      <c r="K25" s="297">
        <v>4500</v>
      </c>
      <c r="L25" s="297">
        <v>2000</v>
      </c>
      <c r="M25" s="297">
        <v>6000</v>
      </c>
      <c r="N25" s="297"/>
      <c r="O25" s="297"/>
      <c r="P25" s="297"/>
      <c r="Q25" s="297"/>
      <c r="R25" s="309"/>
      <c r="S25" s="170"/>
      <c r="T25" s="170"/>
      <c r="U25" s="170"/>
      <c r="V25" s="170"/>
      <c r="W25" s="170"/>
      <c r="X25" s="170"/>
    </row>
    <row r="26" spans="1:24" s="1" customFormat="1" ht="15.75" x14ac:dyDescent="0.25">
      <c r="A26" s="238">
        <v>2</v>
      </c>
      <c r="B26" s="238"/>
      <c r="C26" s="238" t="s">
        <v>100</v>
      </c>
      <c r="D26" s="238"/>
      <c r="E26" s="238"/>
      <c r="F26" s="238"/>
      <c r="G26" s="310">
        <f>IF((AND(D34="Y",D35="N",D38&gt;2)),K26,0)</f>
        <v>0</v>
      </c>
      <c r="H26" s="297">
        <f>IF((AND(D34="Y",D39="D",D38&gt;2)),L26,0)</f>
        <v>0</v>
      </c>
      <c r="I26" s="297">
        <f>IF((AND(D34="Y",D39="I",D38&gt;2)),M26,0)</f>
        <v>0</v>
      </c>
      <c r="J26" s="297" t="s">
        <v>101</v>
      </c>
      <c r="K26" s="297">
        <v>5500</v>
      </c>
      <c r="L26" s="297">
        <v>2000</v>
      </c>
      <c r="M26" s="297">
        <v>7000</v>
      </c>
      <c r="N26" s="297"/>
      <c r="O26" s="297"/>
      <c r="P26" s="297"/>
      <c r="Q26" s="297"/>
      <c r="R26" s="309"/>
      <c r="S26" s="170"/>
      <c r="T26" s="170"/>
      <c r="U26" s="170"/>
      <c r="V26" s="170"/>
      <c r="W26" s="170"/>
      <c r="X26" s="170"/>
    </row>
    <row r="27" spans="1:24" ht="15.75" x14ac:dyDescent="0.25">
      <c r="A27" s="212"/>
      <c r="B27" s="212"/>
      <c r="C27" s="257" t="s">
        <v>102</v>
      </c>
      <c r="D27" s="239" t="s">
        <v>47</v>
      </c>
      <c r="E27" s="206"/>
      <c r="F27" s="298"/>
      <c r="G27" s="310">
        <f>IF((AND(D34="Y", D35="Y", D36="Y")),K27,0)</f>
        <v>0</v>
      </c>
      <c r="H27" s="297">
        <f>IF((AND(D34="Y",D35="Y",D36="Y")),I27,0)</f>
        <v>0</v>
      </c>
      <c r="I27" s="311">
        <f>IF((AND(D34="Y", D35="Y", D36="Y")),M27,0)</f>
        <v>0</v>
      </c>
      <c r="J27" s="297" t="s">
        <v>103</v>
      </c>
      <c r="K27" s="297">
        <f>K23</f>
        <v>0</v>
      </c>
      <c r="L27" s="297">
        <f>L23</f>
        <v>0</v>
      </c>
      <c r="M27" s="297">
        <f>M23</f>
        <v>20500</v>
      </c>
      <c r="N27" s="297"/>
      <c r="O27" s="297"/>
      <c r="P27" s="297"/>
      <c r="Q27" s="297"/>
      <c r="R27" s="297"/>
    </row>
    <row r="28" spans="1:24" ht="15.75" x14ac:dyDescent="0.25">
      <c r="A28" s="212"/>
      <c r="B28" s="212"/>
      <c r="C28" s="257" t="s">
        <v>104</v>
      </c>
      <c r="D28" s="239" t="s">
        <v>43</v>
      </c>
      <c r="E28" s="206"/>
      <c r="F28" s="298"/>
      <c r="G28" s="310">
        <f>MAX(G23:G27)</f>
        <v>3500</v>
      </c>
      <c r="H28" s="311"/>
      <c r="I28" s="311">
        <f>MAX(H23:I27)</f>
        <v>2000</v>
      </c>
      <c r="J28" s="49" t="s">
        <v>105</v>
      </c>
      <c r="K28" s="49"/>
      <c r="L28" s="49" t="s">
        <v>106</v>
      </c>
      <c r="M28" s="297"/>
      <c r="N28" s="297"/>
      <c r="O28" s="297"/>
      <c r="P28" s="297"/>
      <c r="Q28" s="297"/>
      <c r="R28" s="297"/>
    </row>
    <row r="29" spans="1:24" ht="15.75" x14ac:dyDescent="0.25">
      <c r="A29" s="212"/>
      <c r="B29" s="212"/>
      <c r="C29" s="257" t="s">
        <v>107</v>
      </c>
      <c r="D29" s="239" t="s">
        <v>43</v>
      </c>
      <c r="E29" s="206"/>
      <c r="F29" s="298"/>
      <c r="G29" s="312"/>
      <c r="H29" s="297"/>
      <c r="I29" s="297"/>
      <c r="J29" s="297"/>
      <c r="K29" s="49"/>
      <c r="L29" s="297"/>
      <c r="M29" s="297"/>
      <c r="N29" s="297"/>
      <c r="O29" s="297"/>
      <c r="P29" s="297"/>
      <c r="Q29" s="297"/>
      <c r="R29" s="297"/>
    </row>
    <row r="30" spans="1:24" ht="18" x14ac:dyDescent="0.25">
      <c r="A30" s="212"/>
      <c r="B30" s="313" t="str">
        <f>IF((D29="Y"),"4","")</f>
        <v/>
      </c>
      <c r="C30" s="258" t="str">
        <f>IF((D29="Y"),"Answer the questions 14-18 then proceed directly to Section 7","")</f>
        <v/>
      </c>
      <c r="D30" s="239" t="s">
        <v>43</v>
      </c>
      <c r="E30" s="206"/>
      <c r="F30" s="298"/>
      <c r="G30" s="312"/>
      <c r="H30" s="49" t="s">
        <v>108</v>
      </c>
      <c r="I30" s="297"/>
      <c r="J30" s="297"/>
      <c r="K30" s="297"/>
      <c r="L30" s="231"/>
      <c r="M30" s="297"/>
      <c r="N30" s="297"/>
      <c r="O30" s="297"/>
      <c r="P30" s="297"/>
      <c r="Q30" s="297"/>
      <c r="R30" s="297"/>
    </row>
    <row r="31" spans="1:24" ht="18" x14ac:dyDescent="0.25">
      <c r="A31" s="212"/>
      <c r="B31" s="212">
        <f>IF((D31="Y"),1,0)</f>
        <v>0</v>
      </c>
      <c r="C31" s="314" t="s">
        <v>109</v>
      </c>
      <c r="D31" s="239" t="s">
        <v>43</v>
      </c>
      <c r="E31" s="207" t="str">
        <f>IF((D31="Y"),"PRIVATE LOANS ONLY","")</f>
        <v/>
      </c>
      <c r="F31" s="298"/>
      <c r="G31" s="312" t="s">
        <v>110</v>
      </c>
      <c r="H31" s="315" t="s">
        <v>111</v>
      </c>
      <c r="I31" s="315" t="s">
        <v>112</v>
      </c>
      <c r="J31" s="49" t="s">
        <v>113</v>
      </c>
      <c r="K31" s="49"/>
      <c r="L31" s="297"/>
      <c r="M31" s="297"/>
      <c r="N31" s="297"/>
      <c r="O31" s="297"/>
      <c r="P31" s="297"/>
      <c r="Q31" s="297"/>
      <c r="R31" s="297"/>
    </row>
    <row r="32" spans="1:24" ht="15" x14ac:dyDescent="0.2">
      <c r="A32" s="212"/>
      <c r="B32" s="212"/>
      <c r="C32" t="s">
        <v>114</v>
      </c>
      <c r="D32" s="239" t="s">
        <v>43</v>
      </c>
      <c r="E32" s="210" t="str">
        <f>IF((D32="Y"),"For school codes - click below","")</f>
        <v/>
      </c>
      <c r="F32" s="298"/>
      <c r="G32" s="316">
        <f>D7</f>
        <v>1.3</v>
      </c>
      <c r="H32" s="311">
        <f>D41*G32</f>
        <v>0</v>
      </c>
      <c r="I32" s="311">
        <f>E41</f>
        <v>0</v>
      </c>
      <c r="J32" s="49" t="s">
        <v>115</v>
      </c>
      <c r="K32" s="297" t="s">
        <v>116</v>
      </c>
      <c r="L32" s="297"/>
      <c r="M32" s="297"/>
      <c r="N32" s="297"/>
      <c r="O32" s="297"/>
      <c r="P32" s="297"/>
      <c r="Q32" s="297"/>
      <c r="R32" s="297"/>
    </row>
    <row r="33" spans="1:24" x14ac:dyDescent="0.2">
      <c r="A33" s="212"/>
      <c r="B33" s="212">
        <f>IF((D33="N"),1,0)</f>
        <v>0</v>
      </c>
      <c r="C33" t="str">
        <f>IF((D32="Y"),"Is that school in the List of federal School Codes at the website link now showing in red box","do not adjust this line")</f>
        <v>do not adjust this line</v>
      </c>
      <c r="D33" s="239" t="s">
        <v>47</v>
      </c>
      <c r="E33" s="213" t="str">
        <f>IF((D32="Y"),"https://ifap.ed.gov/ilibrary/document-types/federal-school-code-list","")</f>
        <v/>
      </c>
      <c r="F33" s="298"/>
      <c r="G33" s="312">
        <f>G32</f>
        <v>1.3</v>
      </c>
      <c r="H33" s="311">
        <f>D42*G33</f>
        <v>0</v>
      </c>
      <c r="I33" s="311">
        <f>E42</f>
        <v>0</v>
      </c>
      <c r="J33" s="297" t="s">
        <v>117</v>
      </c>
      <c r="K33" s="297" t="s">
        <v>118</v>
      </c>
      <c r="L33" s="297"/>
      <c r="M33" s="297"/>
      <c r="N33" s="297"/>
      <c r="O33" s="297"/>
      <c r="P33" s="297"/>
      <c r="Q33" s="297"/>
      <c r="R33" s="297"/>
    </row>
    <row r="34" spans="1:24" x14ac:dyDescent="0.2">
      <c r="A34" s="212">
        <f>IF((D34="Y"),1,2)</f>
        <v>1</v>
      </c>
      <c r="B34" s="212"/>
      <c r="C34" s="317" t="s">
        <v>119</v>
      </c>
      <c r="D34" s="239" t="s">
        <v>47</v>
      </c>
      <c r="E34" s="220" t="str">
        <f>IF((D33="n"), "PRIVATE LOANS ONLY","")</f>
        <v/>
      </c>
      <c r="F34" s="298"/>
      <c r="G34" s="312">
        <f>G33</f>
        <v>1.3</v>
      </c>
      <c r="H34" s="311">
        <f>D43*G34</f>
        <v>0</v>
      </c>
      <c r="I34" s="311">
        <f>E43</f>
        <v>0</v>
      </c>
      <c r="J34" s="297" t="s">
        <v>120</v>
      </c>
      <c r="K34" s="297" t="s">
        <v>118</v>
      </c>
      <c r="L34" s="297"/>
      <c r="M34" s="297"/>
      <c r="N34" s="297"/>
      <c r="O34" s="297"/>
      <c r="P34" s="297"/>
      <c r="Q34" s="297"/>
      <c r="R34" s="297"/>
    </row>
    <row r="35" spans="1:24" x14ac:dyDescent="0.2">
      <c r="A35" s="212">
        <f>IF((D35="N"),1,2)</f>
        <v>1</v>
      </c>
      <c r="B35" s="212"/>
      <c r="C35" s="156" t="str">
        <f>IF(D34="N", "Do not adjust this line", "Are you taking an undergraduate course but at graduate/professional level? Only answer Y or N")</f>
        <v>Are you taking an undergraduate course but at graduate/professional level? Only answer Y or N</v>
      </c>
      <c r="D35" s="239" t="s">
        <v>43</v>
      </c>
      <c r="E35" s="132"/>
      <c r="F35" s="298"/>
      <c r="G35" s="312">
        <f>G34</f>
        <v>1.3</v>
      </c>
      <c r="H35" s="311">
        <f>D44*G35</f>
        <v>0</v>
      </c>
      <c r="I35" s="311">
        <f>E44</f>
        <v>0</v>
      </c>
      <c r="J35" s="297" t="s">
        <v>121</v>
      </c>
      <c r="K35" s="297" t="s">
        <v>118</v>
      </c>
      <c r="L35" s="297"/>
      <c r="M35" s="297"/>
      <c r="N35" s="297"/>
      <c r="O35" s="297"/>
      <c r="P35" s="297"/>
      <c r="Q35" s="297"/>
      <c r="R35" s="297"/>
    </row>
    <row r="36" spans="1:24" x14ac:dyDescent="0.2">
      <c r="A36" s="211"/>
      <c r="B36" s="212"/>
      <c r="C36" s="157" t="str">
        <f>IF((AND( D34="Y", D35="Y")), "Do you already have another undergraduate degree - answer Y or N", "Do not adjust this line" )</f>
        <v>Do not adjust this line</v>
      </c>
      <c r="D36" s="239" t="s">
        <v>43</v>
      </c>
      <c r="E36" s="132"/>
      <c r="F36" s="298"/>
      <c r="G36" s="312">
        <f>G34</f>
        <v>1.3</v>
      </c>
      <c r="H36" s="311">
        <f>D45*G36</f>
        <v>0</v>
      </c>
      <c r="I36" s="311">
        <f>E45</f>
        <v>0</v>
      </c>
      <c r="J36" s="297" t="s">
        <v>122</v>
      </c>
      <c r="K36" s="297" t="s">
        <v>118</v>
      </c>
      <c r="L36" s="297"/>
      <c r="M36" s="297"/>
      <c r="N36" s="297"/>
      <c r="O36" s="297"/>
      <c r="P36" s="297"/>
      <c r="Q36" s="297"/>
      <c r="R36" s="297"/>
    </row>
    <row r="37" spans="1:24" x14ac:dyDescent="0.2">
      <c r="A37" s="211"/>
      <c r="B37" s="212"/>
      <c r="C37" s="157" t="str">
        <f>IF(D34="Y", "Do not adjust this line", "Is this course for a Research degree such as a PhD Only answer Y or N")</f>
        <v>Do not adjust this line</v>
      </c>
      <c r="D37" s="239" t="s">
        <v>43</v>
      </c>
      <c r="E37" s="132"/>
      <c r="F37" s="298"/>
      <c r="G37" s="312"/>
      <c r="H37" s="311"/>
      <c r="I37" s="311"/>
      <c r="J37" s="297"/>
      <c r="K37" s="297"/>
      <c r="L37" s="297"/>
      <c r="M37" s="297"/>
      <c r="N37" s="297"/>
      <c r="O37" s="297"/>
      <c r="P37" s="297"/>
      <c r="Q37" s="297"/>
      <c r="R37" s="297"/>
    </row>
    <row r="38" spans="1:24" s="1" customFormat="1" ht="15" customHeight="1" x14ac:dyDescent="0.25">
      <c r="A38" s="211"/>
      <c r="B38" s="212"/>
      <c r="C38" s="157" t="s">
        <v>123</v>
      </c>
      <c r="D38" s="318">
        <v>1</v>
      </c>
      <c r="E38" s="132"/>
      <c r="F38" s="298"/>
      <c r="G38" s="319"/>
      <c r="H38" s="320"/>
      <c r="I38" s="321">
        <f>SUM(H33:I36)</f>
        <v>0</v>
      </c>
      <c r="J38" s="299" t="s">
        <v>124</v>
      </c>
      <c r="K38" s="299"/>
      <c r="L38" s="309"/>
      <c r="M38" s="309"/>
      <c r="N38" s="309"/>
      <c r="O38" s="309"/>
      <c r="P38" s="309"/>
      <c r="Q38" s="309"/>
      <c r="R38" s="309"/>
      <c r="S38" s="170"/>
      <c r="T38" s="170"/>
      <c r="U38" s="170"/>
      <c r="V38" s="170"/>
      <c r="W38" s="170"/>
      <c r="X38" s="170"/>
    </row>
    <row r="39" spans="1:24" ht="14.25" customHeight="1" x14ac:dyDescent="0.2">
      <c r="A39" s="211"/>
      <c r="B39" s="212"/>
      <c r="C39" s="19" t="s">
        <v>125</v>
      </c>
      <c r="D39" s="239" t="s">
        <v>46</v>
      </c>
      <c r="E39" s="132"/>
      <c r="F39" s="298"/>
      <c r="G39" s="312"/>
      <c r="H39" s="297"/>
      <c r="I39" s="311"/>
      <c r="J39" s="297"/>
      <c r="K39" s="297"/>
      <c r="L39" s="297"/>
      <c r="M39" s="297"/>
      <c r="N39" s="297"/>
      <c r="O39" s="297"/>
      <c r="P39" s="297"/>
      <c r="Q39" s="297"/>
      <c r="R39" s="297"/>
    </row>
    <row r="40" spans="1:24" x14ac:dyDescent="0.2">
      <c r="A40" s="211"/>
      <c r="B40" s="212"/>
      <c r="C40" s="19" t="s">
        <v>126</v>
      </c>
      <c r="D40" s="322">
        <v>0</v>
      </c>
      <c r="E40" s="208"/>
      <c r="F40" s="298"/>
      <c r="G40" s="312"/>
      <c r="H40" s="49" t="s">
        <v>127</v>
      </c>
      <c r="I40" s="297"/>
      <c r="J40" s="297"/>
      <c r="K40" s="297"/>
      <c r="L40" s="297"/>
      <c r="M40" s="297"/>
      <c r="N40" s="297"/>
      <c r="O40" s="297"/>
      <c r="P40" s="297"/>
      <c r="Q40" s="297"/>
      <c r="R40" s="297"/>
    </row>
    <row r="41" spans="1:24" x14ac:dyDescent="0.2">
      <c r="A41" s="211"/>
      <c r="B41" s="313" t="str">
        <f>IF((D29="Y"),"14","")</f>
        <v/>
      </c>
      <c r="C41" s="19" t="s">
        <v>128</v>
      </c>
      <c r="D41" s="323">
        <v>0</v>
      </c>
      <c r="E41" s="208"/>
      <c r="F41" s="324"/>
      <c r="G41" s="312" t="s">
        <v>129</v>
      </c>
      <c r="H41" s="310" t="s">
        <v>130</v>
      </c>
      <c r="I41" s="310" t="s">
        <v>131</v>
      </c>
      <c r="J41" s="297" t="s">
        <v>132</v>
      </c>
      <c r="K41" s="297" t="s">
        <v>133</v>
      </c>
      <c r="L41" s="297" t="s">
        <v>110</v>
      </c>
      <c r="M41" s="297" t="s">
        <v>134</v>
      </c>
      <c r="N41" s="297"/>
      <c r="O41" s="297"/>
      <c r="P41" s="297"/>
      <c r="Q41" s="297"/>
      <c r="R41" s="297"/>
    </row>
    <row r="42" spans="1:24" x14ac:dyDescent="0.2">
      <c r="A42" s="211"/>
      <c r="B42" s="313" t="str">
        <f>IF((D29="Y"),"15","")</f>
        <v/>
      </c>
      <c r="C42" s="20" t="s">
        <v>135</v>
      </c>
      <c r="D42" s="323">
        <v>0</v>
      </c>
      <c r="E42" s="325">
        <v>0</v>
      </c>
      <c r="F42" s="324"/>
      <c r="G42" s="312">
        <f>D9</f>
        <v>42</v>
      </c>
      <c r="H42" s="311">
        <f>ROUND((M42*L42*G42),0)</f>
        <v>17472</v>
      </c>
      <c r="I42" s="311">
        <f>ROUND((M42*L42*J42),0)</f>
        <v>21632</v>
      </c>
      <c r="J42" s="276">
        <f>D10</f>
        <v>52</v>
      </c>
      <c r="K42" s="326" t="str">
        <f>IF(((MAX(A34:A35))&gt;1),"P","U")</f>
        <v>U</v>
      </c>
      <c r="L42" s="327">
        <f>G32</f>
        <v>1.3</v>
      </c>
      <c r="M42" s="297">
        <f>'School DATA'!I11</f>
        <v>320</v>
      </c>
      <c r="N42" s="297" t="s">
        <v>136</v>
      </c>
      <c r="O42" s="297"/>
      <c r="P42" s="297"/>
      <c r="Q42" s="297"/>
      <c r="R42" s="297"/>
    </row>
    <row r="43" spans="1:24" x14ac:dyDescent="0.2">
      <c r="A43" s="211"/>
      <c r="B43" s="313" t="str">
        <f>IF((D29="Y"),"16","")</f>
        <v/>
      </c>
      <c r="C43" s="20" t="s">
        <v>137</v>
      </c>
      <c r="D43" s="323">
        <v>0</v>
      </c>
      <c r="E43" s="209"/>
      <c r="F43" s="328"/>
      <c r="G43" s="312">
        <f>D9</f>
        <v>42</v>
      </c>
      <c r="H43" s="311">
        <f>ROUND((M43*L43*G43),0)</f>
        <v>3822</v>
      </c>
      <c r="I43" s="311">
        <f>ROUND((M43*L43*J43),0)</f>
        <v>4732</v>
      </c>
      <c r="J43" s="276">
        <f t="shared" ref="J43:L46" si="0">J42</f>
        <v>52</v>
      </c>
      <c r="K43" s="326" t="str">
        <f t="shared" si="0"/>
        <v>U</v>
      </c>
      <c r="L43" s="327">
        <f t="shared" si="0"/>
        <v>1.3</v>
      </c>
      <c r="M43" s="297">
        <f>'School DATA'!I13</f>
        <v>70</v>
      </c>
      <c r="N43" s="297" t="s">
        <v>138</v>
      </c>
      <c r="O43" s="297"/>
      <c r="P43" s="297"/>
      <c r="Q43" s="297"/>
      <c r="R43" s="297"/>
    </row>
    <row r="44" spans="1:24" x14ac:dyDescent="0.2">
      <c r="A44" s="259"/>
      <c r="B44" s="313" t="str">
        <f>IF((D29="Y"),"17","")</f>
        <v/>
      </c>
      <c r="C44" s="19" t="s">
        <v>139</v>
      </c>
      <c r="D44" s="323">
        <v>0</v>
      </c>
      <c r="E44" s="209"/>
      <c r="F44" s="328"/>
      <c r="G44" s="312">
        <f>G43</f>
        <v>42</v>
      </c>
      <c r="H44" s="311">
        <f>ROUND((M44*L44*G44),0)</f>
        <v>819</v>
      </c>
      <c r="I44" s="311">
        <f>ROUND((M44*L44*J44),0)</f>
        <v>1014</v>
      </c>
      <c r="J44" s="276">
        <f t="shared" si="0"/>
        <v>52</v>
      </c>
      <c r="K44" s="326" t="str">
        <f t="shared" si="0"/>
        <v>U</v>
      </c>
      <c r="L44" s="327">
        <f t="shared" si="0"/>
        <v>1.3</v>
      </c>
      <c r="M44" s="297">
        <f>'School DATA'!H14</f>
        <v>15</v>
      </c>
      <c r="N44" s="297" t="s">
        <v>140</v>
      </c>
      <c r="O44" s="297"/>
      <c r="P44" s="297"/>
      <c r="Q44" s="297"/>
      <c r="R44" s="297"/>
    </row>
    <row r="45" spans="1:24" x14ac:dyDescent="0.2">
      <c r="A45" s="214" t="s">
        <v>141</v>
      </c>
      <c r="B45" s="313" t="str">
        <f>IF((D29="Y"),"18","")</f>
        <v/>
      </c>
      <c r="C45" s="19" t="s">
        <v>142</v>
      </c>
      <c r="D45" s="329"/>
      <c r="E45" s="325">
        <v>0</v>
      </c>
      <c r="F45" s="328"/>
      <c r="G45" s="312">
        <f>G44</f>
        <v>42</v>
      </c>
      <c r="H45" s="311">
        <f>ROUND((M45*L45*G45),0)</f>
        <v>2457</v>
      </c>
      <c r="I45" s="311">
        <f>ROUND((M45*L45*J45),0)</f>
        <v>3042</v>
      </c>
      <c r="J45" s="276">
        <f t="shared" si="0"/>
        <v>52</v>
      </c>
      <c r="K45" s="326" t="str">
        <f t="shared" si="0"/>
        <v>U</v>
      </c>
      <c r="L45" s="327">
        <f t="shared" si="0"/>
        <v>1.3</v>
      </c>
      <c r="M45" s="297">
        <f>'School DATA'!H15</f>
        <v>45</v>
      </c>
      <c r="N45" s="297" t="s">
        <v>143</v>
      </c>
      <c r="O45" s="297"/>
      <c r="P45" s="297"/>
      <c r="Q45" s="297"/>
      <c r="R45" s="297"/>
    </row>
    <row r="46" spans="1:24" ht="15.75" x14ac:dyDescent="0.25">
      <c r="A46" s="212">
        <f>SUM(B31:B46)</f>
        <v>0</v>
      </c>
      <c r="B46" s="216">
        <f>IF((D29="Y"),1,0)</f>
        <v>0</v>
      </c>
      <c r="E46" s="330" t="str">
        <f>IF((A46&gt;0),"PRIVATE LOANS ONLY","")</f>
        <v/>
      </c>
      <c r="F46" s="328"/>
      <c r="G46" s="312">
        <f>G45</f>
        <v>42</v>
      </c>
      <c r="H46" s="311">
        <f>ROUND((M46*L46*G46),0)</f>
        <v>2457</v>
      </c>
      <c r="I46" s="311">
        <f>ROUND((M46*L46*J46),0)</f>
        <v>3042</v>
      </c>
      <c r="J46" s="276">
        <f t="shared" si="0"/>
        <v>52</v>
      </c>
      <c r="K46" s="326" t="str">
        <f t="shared" si="0"/>
        <v>U</v>
      </c>
      <c r="L46" s="327">
        <f t="shared" si="0"/>
        <v>1.3</v>
      </c>
      <c r="M46" s="297">
        <f>'School DATA'!H13</f>
        <v>45</v>
      </c>
      <c r="N46" s="297" t="s">
        <v>144</v>
      </c>
      <c r="O46" s="297"/>
      <c r="P46" s="297"/>
      <c r="Q46" s="297"/>
      <c r="R46" s="297"/>
    </row>
    <row r="47" spans="1:24" ht="18" x14ac:dyDescent="0.25">
      <c r="A47" s="243">
        <v>3</v>
      </c>
      <c r="B47" s="244"/>
      <c r="C47" s="245" t="str">
        <f>G59</f>
        <v>Your Cost of Attendance (Values rounded)</v>
      </c>
      <c r="D47" s="246" t="str">
        <f>H60</f>
        <v>$</v>
      </c>
      <c r="E47" s="247"/>
      <c r="F47" s="324"/>
      <c r="G47" s="312"/>
      <c r="H47" s="311"/>
      <c r="I47" s="311"/>
      <c r="J47" s="276"/>
      <c r="K47" s="326">
        <f>M47*L47</f>
        <v>8288.8000000000011</v>
      </c>
      <c r="L47" s="327">
        <f>L46</f>
        <v>1.3</v>
      </c>
      <c r="M47" s="297">
        <f>'School DATA'!I20</f>
        <v>6376</v>
      </c>
      <c r="N47" s="331" t="s">
        <v>145</v>
      </c>
      <c r="O47" s="297"/>
      <c r="P47" s="297"/>
      <c r="Q47" s="297"/>
      <c r="R47" s="297"/>
    </row>
    <row r="48" spans="1:24" ht="20.25" x14ac:dyDescent="0.3">
      <c r="A48" s="199"/>
      <c r="B48" s="58"/>
      <c r="C48" s="248" t="str">
        <f>G61</f>
        <v>Tuition Fees</v>
      </c>
      <c r="D48" s="269">
        <f>H61</f>
        <v>0</v>
      </c>
      <c r="E48" s="24"/>
      <c r="F48" s="237"/>
      <c r="G48" s="297"/>
      <c r="H48" s="311"/>
      <c r="I48" s="311"/>
      <c r="J48" s="297"/>
      <c r="K48" s="326">
        <f>M48*L48</f>
        <v>2132</v>
      </c>
      <c r="L48" s="327">
        <f>L47</f>
        <v>1.3</v>
      </c>
      <c r="M48" s="297">
        <f>'School DATA'!I23</f>
        <v>1640</v>
      </c>
      <c r="N48" s="297" t="s">
        <v>146</v>
      </c>
      <c r="O48" s="297"/>
      <c r="P48" s="297"/>
      <c r="Q48" s="297"/>
      <c r="R48" s="297"/>
    </row>
    <row r="49" spans="1:24" ht="20.25" x14ac:dyDescent="0.3">
      <c r="A49" s="199"/>
      <c r="B49" s="58"/>
      <c r="C49" s="248" t="str">
        <f t="shared" ref="C49:C59" si="1">G62</f>
        <v>Room</v>
      </c>
      <c r="D49" s="269">
        <f t="shared" ref="D49:D57" si="2">H62</f>
        <v>17472</v>
      </c>
      <c r="E49" s="24"/>
      <c r="F49" s="332"/>
      <c r="G49" s="297"/>
      <c r="H49" s="49" t="s">
        <v>147</v>
      </c>
      <c r="I49" s="311"/>
      <c r="J49" s="297"/>
      <c r="K49" s="223" t="s">
        <v>148</v>
      </c>
      <c r="L49" s="297"/>
      <c r="M49" s="297"/>
      <c r="N49" s="297"/>
      <c r="O49" s="297"/>
      <c r="P49" s="297"/>
      <c r="Q49" s="297"/>
      <c r="R49" s="297"/>
    </row>
    <row r="50" spans="1:24" ht="15" x14ac:dyDescent="0.2">
      <c r="A50" s="199"/>
      <c r="B50" s="58"/>
      <c r="C50" s="248" t="str">
        <f t="shared" si="1"/>
        <v>Board</v>
      </c>
      <c r="D50" s="269">
        <f t="shared" si="2"/>
        <v>3822</v>
      </c>
      <c r="E50" s="24"/>
      <c r="F50" s="332"/>
      <c r="G50" s="327">
        <f>D7</f>
        <v>1.3</v>
      </c>
      <c r="H50" s="276" t="s">
        <v>149</v>
      </c>
      <c r="I50" s="333">
        <f>IF((E63="Allow"),D63*G50,0)</f>
        <v>0</v>
      </c>
      <c r="J50" s="297"/>
      <c r="K50" s="297"/>
      <c r="L50" s="297" t="s">
        <v>150</v>
      </c>
      <c r="M50" s="297" t="s">
        <v>151</v>
      </c>
      <c r="N50" s="297" t="s">
        <v>152</v>
      </c>
      <c r="O50" s="297" t="s">
        <v>153</v>
      </c>
      <c r="P50" s="297"/>
      <c r="Q50" s="297"/>
      <c r="R50" s="297"/>
    </row>
    <row r="51" spans="1:24" ht="15" x14ac:dyDescent="0.2">
      <c r="A51" s="199"/>
      <c r="B51" s="58"/>
      <c r="C51" s="248" t="str">
        <f t="shared" si="1"/>
        <v>Books</v>
      </c>
      <c r="D51" s="269">
        <f t="shared" si="2"/>
        <v>819</v>
      </c>
      <c r="E51" s="24"/>
      <c r="F51" s="332"/>
      <c r="G51" s="297">
        <f>G50</f>
        <v>1.3</v>
      </c>
      <c r="H51" s="276" t="s">
        <v>154</v>
      </c>
      <c r="I51" s="333">
        <f>IF((E64="Allow"),D64*G51,0)</f>
        <v>0</v>
      </c>
      <c r="J51" s="297"/>
      <c r="K51" s="297" t="s">
        <v>155</v>
      </c>
      <c r="L51" s="297"/>
      <c r="M51" s="297" t="s">
        <v>156</v>
      </c>
      <c r="N51" s="297" t="s">
        <v>110</v>
      </c>
      <c r="O51" s="297" t="s">
        <v>157</v>
      </c>
      <c r="P51" s="297"/>
      <c r="Q51" s="297"/>
      <c r="R51" s="297"/>
    </row>
    <row r="52" spans="1:24" ht="15" x14ac:dyDescent="0.2">
      <c r="A52" s="199"/>
      <c r="B52" s="58"/>
      <c r="C52" s="248" t="str">
        <f t="shared" si="1"/>
        <v>Travel</v>
      </c>
      <c r="D52" s="269">
        <f t="shared" si="2"/>
        <v>2457</v>
      </c>
      <c r="E52" s="24"/>
      <c r="F52" s="332"/>
      <c r="G52" s="297">
        <f>G51</f>
        <v>1.3</v>
      </c>
      <c r="H52" s="276" t="s">
        <v>158</v>
      </c>
      <c r="I52" s="333">
        <f>IF((E65="Allow"),D65*G52,0)</f>
        <v>0</v>
      </c>
      <c r="J52" s="297"/>
      <c r="K52" s="297" t="s">
        <v>159</v>
      </c>
      <c r="L52" s="334">
        <f>'School DATA'!D38</f>
        <v>1.0569999999999999</v>
      </c>
      <c r="M52" s="334">
        <f>'School DATA'!E38</f>
        <v>0</v>
      </c>
      <c r="N52" s="334">
        <f>L52-M52</f>
        <v>1.0569999999999999</v>
      </c>
      <c r="O52" s="335">
        <f>N52*0.01</f>
        <v>1.057E-2</v>
      </c>
      <c r="P52" s="297"/>
      <c r="Q52" s="297"/>
      <c r="R52" s="297"/>
    </row>
    <row r="53" spans="1:24" ht="15" x14ac:dyDescent="0.2">
      <c r="A53" s="199"/>
      <c r="B53" s="58"/>
      <c r="C53" s="248" t="str">
        <f t="shared" si="1"/>
        <v>Personal</v>
      </c>
      <c r="D53" s="269">
        <f t="shared" si="2"/>
        <v>2457</v>
      </c>
      <c r="E53" s="24"/>
      <c r="F53" s="332"/>
      <c r="G53" s="297">
        <f>G52</f>
        <v>1.3</v>
      </c>
      <c r="H53" s="276" t="s">
        <v>160</v>
      </c>
      <c r="I53" s="333">
        <f>IF((E66="Allow"),D66*G53,0)</f>
        <v>0</v>
      </c>
      <c r="J53" s="297"/>
      <c r="K53" s="297" t="s">
        <v>161</v>
      </c>
      <c r="L53" s="334">
        <f>'School DATA'!D39</f>
        <v>1.0569999999999999</v>
      </c>
      <c r="M53" s="334">
        <f>'School DATA'!E39</f>
        <v>0</v>
      </c>
      <c r="N53" s="334">
        <f>L53-M53</f>
        <v>1.0569999999999999</v>
      </c>
      <c r="O53" s="335">
        <f>N53*0.01</f>
        <v>1.057E-2</v>
      </c>
      <c r="P53" s="297"/>
      <c r="Q53" s="297"/>
      <c r="R53" s="297"/>
    </row>
    <row r="54" spans="1:24" ht="15" x14ac:dyDescent="0.2">
      <c r="A54" s="199"/>
      <c r="B54" s="58"/>
      <c r="C54" s="249" t="str">
        <f t="shared" si="1"/>
        <v>Essential flights + health for all years (plus visa and laptop if 1st year)</v>
      </c>
      <c r="D54" s="270">
        <f t="shared" si="2"/>
        <v>10420.800000000001</v>
      </c>
      <c r="E54" s="24"/>
      <c r="F54" s="332"/>
      <c r="G54" s="297">
        <f>G53</f>
        <v>1.3</v>
      </c>
      <c r="H54" s="311"/>
      <c r="I54" s="311"/>
      <c r="J54" s="297"/>
      <c r="K54" s="297" t="s">
        <v>162</v>
      </c>
      <c r="L54" s="334">
        <f>'School DATA'!D40</f>
        <v>4.2279999999999998</v>
      </c>
      <c r="M54" s="334">
        <f>'School DATA'!E40</f>
        <v>0</v>
      </c>
      <c r="N54" s="334">
        <f>L54-M54</f>
        <v>4.2279999999999998</v>
      </c>
      <c r="O54" s="335">
        <f>N54*0.01</f>
        <v>4.2279999999999998E-2</v>
      </c>
      <c r="P54" s="297"/>
      <c r="Q54" s="297"/>
      <c r="R54" s="297"/>
    </row>
    <row r="55" spans="1:24" ht="15.75" x14ac:dyDescent="0.25">
      <c r="A55" s="199"/>
      <c r="B55" s="58"/>
      <c r="C55" s="272" t="str">
        <f t="shared" si="1"/>
        <v>Total Cost of Attendance</v>
      </c>
      <c r="D55" s="273">
        <f t="shared" si="2"/>
        <v>37447.800000000003</v>
      </c>
      <c r="E55" s="336"/>
      <c r="F55" s="332"/>
      <c r="G55" s="297">
        <f>G54</f>
        <v>1.3</v>
      </c>
      <c r="H55" s="311" t="s">
        <v>163</v>
      </c>
      <c r="I55" s="337">
        <f>SUM(I50:I54)</f>
        <v>0</v>
      </c>
      <c r="J55" s="297"/>
      <c r="K55" s="297"/>
      <c r="L55" s="297"/>
      <c r="M55" s="297"/>
      <c r="N55" s="297"/>
      <c r="O55" s="297"/>
      <c r="P55" s="297"/>
      <c r="Q55" s="297"/>
      <c r="R55" s="297"/>
    </row>
    <row r="56" spans="1:24" ht="16.5" thickBot="1" x14ac:dyDescent="0.3">
      <c r="A56" s="199"/>
      <c r="B56" s="58"/>
      <c r="C56" s="250" t="str">
        <f t="shared" si="1"/>
        <v>Adjust for Sponsorship, Awards or other Aid</v>
      </c>
      <c r="D56" s="271">
        <f t="shared" si="2"/>
        <v>0</v>
      </c>
      <c r="E56" s="24"/>
      <c r="F56" s="338"/>
      <c r="G56" s="297"/>
      <c r="H56" s="311"/>
      <c r="I56" s="311"/>
      <c r="J56" s="297"/>
      <c r="K56" s="297"/>
      <c r="L56" s="297"/>
      <c r="M56" s="297"/>
      <c r="N56" s="297"/>
      <c r="O56" s="297"/>
      <c r="P56" s="297"/>
      <c r="Q56" s="297"/>
      <c r="R56" s="297"/>
    </row>
    <row r="57" spans="1:24" ht="15.75" thickTop="1" x14ac:dyDescent="0.2">
      <c r="A57" s="199"/>
      <c r="B57" s="58"/>
      <c r="C57" s="339" t="str">
        <f t="shared" si="1"/>
        <v>Total Cost of Attendance</v>
      </c>
      <c r="D57" s="340">
        <f t="shared" si="2"/>
        <v>37448</v>
      </c>
      <c r="E57" s="24"/>
      <c r="F57" s="332"/>
      <c r="G57" s="297"/>
      <c r="H57" s="311"/>
      <c r="I57" s="297"/>
      <c r="J57" s="297"/>
      <c r="K57" s="297"/>
      <c r="L57" s="297"/>
      <c r="M57" s="297"/>
      <c r="N57" s="297"/>
      <c r="O57" s="297"/>
      <c r="P57" s="297"/>
      <c r="Q57" s="297"/>
      <c r="R57" s="297"/>
    </row>
    <row r="58" spans="1:24" ht="20.25" x14ac:dyDescent="0.3">
      <c r="A58" s="199"/>
      <c r="B58" s="58"/>
      <c r="C58" s="250" t="str">
        <f t="shared" si="1"/>
        <v>Approved Additional Items</v>
      </c>
      <c r="D58" s="341">
        <f>I55</f>
        <v>0</v>
      </c>
      <c r="E58" s="24"/>
      <c r="F58" s="332"/>
      <c r="G58" s="297"/>
      <c r="H58" s="297"/>
      <c r="I58" s="297"/>
      <c r="J58" s="223"/>
      <c r="K58" s="231" t="s">
        <v>164</v>
      </c>
      <c r="L58" s="231" t="s">
        <v>165</v>
      </c>
      <c r="M58" s="49" t="s">
        <v>166</v>
      </c>
      <c r="N58" s="49" t="s">
        <v>167</v>
      </c>
      <c r="O58" s="49"/>
      <c r="P58" s="297"/>
      <c r="Q58" s="297"/>
      <c r="R58" s="297"/>
    </row>
    <row r="59" spans="1:24" ht="21" thickBot="1" x14ac:dyDescent="0.35">
      <c r="A59" s="199"/>
      <c r="B59" s="58"/>
      <c r="C59" s="267" t="str">
        <f t="shared" si="1"/>
        <v>Final CoA including approved Additional Items</v>
      </c>
      <c r="D59" s="268">
        <f>H72</f>
        <v>37448</v>
      </c>
      <c r="F59" s="332"/>
      <c r="G59" s="232" t="s">
        <v>168</v>
      </c>
      <c r="H59" s="49"/>
      <c r="I59" s="297"/>
      <c r="J59" s="297" t="s">
        <v>169</v>
      </c>
      <c r="K59" s="305">
        <f>H72</f>
        <v>37448</v>
      </c>
      <c r="L59" s="305"/>
      <c r="M59" s="297"/>
      <c r="N59" s="297"/>
      <c r="O59" s="49"/>
      <c r="P59" s="297"/>
      <c r="Q59" s="297"/>
      <c r="R59" s="297"/>
    </row>
    <row r="60" spans="1:24" ht="21" thickTop="1" x14ac:dyDescent="0.3">
      <c r="A60" s="199"/>
      <c r="B60" s="58"/>
      <c r="F60" s="332"/>
      <c r="G60" s="297"/>
      <c r="H60" s="233" t="s">
        <v>170</v>
      </c>
      <c r="I60" s="297"/>
      <c r="J60" s="297" t="s">
        <v>171</v>
      </c>
      <c r="K60" s="305">
        <f>-D40</f>
        <v>0</v>
      </c>
      <c r="L60" s="305"/>
      <c r="M60" s="223"/>
      <c r="N60" s="297"/>
      <c r="O60" s="49"/>
      <c r="P60" s="297"/>
      <c r="Q60" s="297"/>
      <c r="R60" s="297"/>
      <c r="U60" s="167"/>
      <c r="V60" s="167"/>
    </row>
    <row r="61" spans="1:24" s="136" customFormat="1" ht="20.25" x14ac:dyDescent="0.3">
      <c r="A61" s="199"/>
      <c r="B61" s="58"/>
      <c r="E61" s="25" t="s">
        <v>172</v>
      </c>
      <c r="F61" s="332"/>
      <c r="G61" s="342" t="s">
        <v>173</v>
      </c>
      <c r="H61" s="343">
        <f>ROUND(H32,0)</f>
        <v>0</v>
      </c>
      <c r="I61" s="297"/>
      <c r="J61" s="297" t="s">
        <v>174</v>
      </c>
      <c r="K61" s="305">
        <f>IF((SUM(K59:K60)&gt;0),(SUM(K59:K60)),0)</f>
        <v>37448</v>
      </c>
      <c r="L61" s="305"/>
      <c r="M61" s="297"/>
      <c r="N61" s="305">
        <f>IF((K61&lt;K63),(K63-K61),0)</f>
        <v>0</v>
      </c>
      <c r="O61" s="297"/>
      <c r="P61" s="223"/>
      <c r="Q61" s="223"/>
      <c r="R61" s="223"/>
      <c r="S61" s="167"/>
      <c r="W61" s="167"/>
      <c r="X61" s="167"/>
    </row>
    <row r="62" spans="1:24" ht="15.75" x14ac:dyDescent="0.25">
      <c r="A62" s="199"/>
      <c r="B62" s="58"/>
      <c r="C62" s="344" t="s">
        <v>175</v>
      </c>
      <c r="D62" s="218" t="s">
        <v>176</v>
      </c>
      <c r="E62" s="265" t="s">
        <v>177</v>
      </c>
      <c r="F62" s="266"/>
      <c r="G62" s="342" t="s">
        <v>136</v>
      </c>
      <c r="H62" s="343">
        <f>ROUND((IF(K42="P",I42,H42)),0)</f>
        <v>17472</v>
      </c>
      <c r="I62" s="297"/>
      <c r="J62" s="297" t="s">
        <v>178</v>
      </c>
      <c r="K62" s="305">
        <f>IF((D29="Y"),0,G28)</f>
        <v>3500</v>
      </c>
      <c r="L62" s="305"/>
      <c r="M62" s="297"/>
      <c r="N62" s="297"/>
      <c r="O62" s="297"/>
      <c r="P62" s="297"/>
      <c r="Q62" s="297"/>
      <c r="R62" s="297"/>
    </row>
    <row r="63" spans="1:24" ht="15" x14ac:dyDescent="0.2">
      <c r="A63" s="199"/>
      <c r="B63" s="58"/>
      <c r="C63" s="240" t="s">
        <v>179</v>
      </c>
      <c r="D63" s="345">
        <v>0</v>
      </c>
      <c r="E63" s="24" t="s">
        <v>44</v>
      </c>
      <c r="F63" s="332"/>
      <c r="G63" s="342" t="s">
        <v>138</v>
      </c>
      <c r="H63" s="343">
        <f>ROUND((IF(K43="P",I43,H43)),0)</f>
        <v>3822</v>
      </c>
      <c r="I63" s="297"/>
      <c r="J63" s="49" t="s">
        <v>180</v>
      </c>
      <c r="K63" s="346">
        <f>IF((((K61/(100-N52))*100)&lt;K62),((K61/(100-N52))*100),K62)</f>
        <v>3500</v>
      </c>
      <c r="L63" s="305"/>
      <c r="M63" s="297">
        <f>IF((N61&gt;0),0,(K63*O52))</f>
        <v>36.994999999999997</v>
      </c>
      <c r="N63" s="297"/>
      <c r="O63" s="297"/>
      <c r="P63" s="297"/>
      <c r="Q63" s="297"/>
      <c r="R63" s="297"/>
    </row>
    <row r="64" spans="1:24" ht="15" x14ac:dyDescent="0.2">
      <c r="A64" s="199"/>
      <c r="B64" s="58"/>
      <c r="C64" s="347" t="s">
        <v>181</v>
      </c>
      <c r="D64" s="345">
        <v>0</v>
      </c>
      <c r="E64" s="24" t="s">
        <v>44</v>
      </c>
      <c r="F64" s="332"/>
      <c r="G64" s="342" t="s">
        <v>140</v>
      </c>
      <c r="H64" s="343">
        <f>ROUND((IF(K44="P",I44,H44)),0)</f>
        <v>819</v>
      </c>
      <c r="I64" s="297"/>
      <c r="J64" s="297"/>
      <c r="K64" s="305"/>
      <c r="L64" s="305"/>
      <c r="M64" s="297"/>
      <c r="N64" s="297"/>
      <c r="O64" s="297"/>
      <c r="P64" s="305"/>
      <c r="Q64" s="297"/>
      <c r="R64" s="297"/>
    </row>
    <row r="65" spans="1:24" ht="15" x14ac:dyDescent="0.2">
      <c r="A65" s="199"/>
      <c r="B65" s="58"/>
      <c r="C65" s="347" t="s">
        <v>182</v>
      </c>
      <c r="D65" s="345">
        <v>0</v>
      </c>
      <c r="E65" s="24" t="s">
        <v>44</v>
      </c>
      <c r="F65" s="332"/>
      <c r="G65" s="342" t="s">
        <v>143</v>
      </c>
      <c r="H65" s="343">
        <f>ROUND((IF(K45="P",I45,H45)),0)</f>
        <v>2457</v>
      </c>
      <c r="I65" s="297"/>
      <c r="J65" s="297" t="s">
        <v>183</v>
      </c>
      <c r="K65" s="305"/>
      <c r="L65" s="305">
        <f>IF((N61&gt;0),(K59+N61-K63),(K59-K63+M63))</f>
        <v>33984.995000000003</v>
      </c>
      <c r="M65" s="297"/>
      <c r="N65" s="305">
        <f>IF((((L67-L65)&gt;0)),(L67-L65),0)</f>
        <v>0</v>
      </c>
      <c r="O65" s="297"/>
      <c r="P65" s="297"/>
      <c r="Q65" s="297"/>
      <c r="R65" s="297"/>
    </row>
    <row r="66" spans="1:24" ht="15" x14ac:dyDescent="0.2">
      <c r="A66" s="199"/>
      <c r="B66" s="58"/>
      <c r="C66" s="240" t="s">
        <v>184</v>
      </c>
      <c r="D66" s="345">
        <v>0</v>
      </c>
      <c r="E66" s="24" t="s">
        <v>44</v>
      </c>
      <c r="F66" s="332"/>
      <c r="G66" s="342" t="s">
        <v>144</v>
      </c>
      <c r="H66" s="343">
        <f>ROUND((IF(K46="P",I46,H46)),0)</f>
        <v>2457</v>
      </c>
      <c r="I66" s="297"/>
      <c r="J66" s="297" t="s">
        <v>185</v>
      </c>
      <c r="K66" s="305"/>
      <c r="L66" s="305">
        <f>IF((D29="Y"),0,(G28+I28-K63))</f>
        <v>2000</v>
      </c>
      <c r="M66" s="297"/>
      <c r="N66" s="297"/>
      <c r="O66" s="297"/>
      <c r="P66" s="297"/>
      <c r="Q66" s="297"/>
      <c r="R66" s="297"/>
    </row>
    <row r="67" spans="1:24" ht="15.75" thickBot="1" x14ac:dyDescent="0.25">
      <c r="A67" s="199"/>
      <c r="B67" s="58"/>
      <c r="C67" s="260" t="s">
        <v>186</v>
      </c>
      <c r="D67" s="218"/>
      <c r="E67" s="24"/>
      <c r="F67" s="332"/>
      <c r="G67" s="342" t="s">
        <v>187</v>
      </c>
      <c r="H67" s="348">
        <f>IF((D38=1),(K47+K48),K47)</f>
        <v>10420.800000000001</v>
      </c>
      <c r="I67" s="297"/>
      <c r="J67" s="49" t="s">
        <v>188</v>
      </c>
      <c r="K67" s="346"/>
      <c r="L67" s="346">
        <f>IF((((L65/(100-N53))*100)&lt;L66),((L65/(100-N53))*100),L66)</f>
        <v>2000</v>
      </c>
      <c r="M67" s="297">
        <f>+IF((N65&gt;0),0,(L67*O53))</f>
        <v>21.14</v>
      </c>
      <c r="N67" s="297"/>
      <c r="O67" s="297"/>
      <c r="P67" s="297"/>
      <c r="Q67" s="297"/>
      <c r="R67" s="297"/>
    </row>
    <row r="68" spans="1:24" ht="15" x14ac:dyDescent="0.2">
      <c r="A68" s="199"/>
      <c r="B68" s="58"/>
      <c r="C68" s="275" t="s">
        <v>189</v>
      </c>
      <c r="D68" s="349">
        <f>SUM(D63:D66)</f>
        <v>0</v>
      </c>
      <c r="E68" s="274">
        <f>I55</f>
        <v>0</v>
      </c>
      <c r="F68" s="332"/>
      <c r="G68" s="350" t="s">
        <v>190</v>
      </c>
      <c r="H68" s="351">
        <f>SUM(H61:H67)</f>
        <v>37447.800000000003</v>
      </c>
      <c r="I68" s="297"/>
      <c r="J68" s="297"/>
      <c r="K68" s="305"/>
      <c r="L68" s="305"/>
      <c r="M68" s="297"/>
      <c r="N68" s="297"/>
      <c r="O68" s="297"/>
      <c r="P68" s="297"/>
      <c r="Q68" s="49"/>
      <c r="R68" s="49"/>
      <c r="S68" s="168"/>
    </row>
    <row r="69" spans="1:24" ht="15.75" x14ac:dyDescent="0.25">
      <c r="A69" s="199"/>
      <c r="B69" s="58"/>
      <c r="C69" s="352" t="str">
        <f>IF(((SUM(B31:B34))&gt;0),"As you will be in places not allowed by your government you are not entitled to Federal Loans - only private loans","")</f>
        <v/>
      </c>
      <c r="D69" s="218"/>
      <c r="E69" s="24"/>
      <c r="F69" s="332"/>
      <c r="G69" s="342" t="s">
        <v>191</v>
      </c>
      <c r="H69" s="343">
        <f>ROUND((-I38),0)</f>
        <v>0</v>
      </c>
      <c r="I69" s="297"/>
      <c r="J69" s="49" t="s">
        <v>192</v>
      </c>
      <c r="K69" s="305"/>
      <c r="L69" s="305"/>
      <c r="M69" s="49"/>
      <c r="N69" s="231"/>
      <c r="O69" s="297"/>
      <c r="P69" s="297"/>
      <c r="Q69" s="297"/>
      <c r="R69" s="297"/>
    </row>
    <row r="70" spans="1:24" s="93" customFormat="1" ht="21" thickBot="1" x14ac:dyDescent="0.35">
      <c r="A70" s="243">
        <v>4</v>
      </c>
      <c r="B70" s="251"/>
      <c r="C70" s="252" t="s">
        <v>193</v>
      </c>
      <c r="D70" s="253"/>
      <c r="E70" s="254"/>
      <c r="F70" s="255"/>
      <c r="G70" s="353" t="s">
        <v>190</v>
      </c>
      <c r="H70" s="354">
        <f>ROUND((SUM(H68:H69)),0)</f>
        <v>37448</v>
      </c>
      <c r="I70" s="297"/>
      <c r="J70" s="297" t="s">
        <v>194</v>
      </c>
      <c r="K70" s="305">
        <f>IF((N65=0),(K59-K63-L67+M63+M67),0)</f>
        <v>32006.134999999998</v>
      </c>
      <c r="L70" s="305"/>
      <c r="M70" s="234"/>
      <c r="N70" s="234"/>
      <c r="O70" s="355"/>
      <c r="P70" s="49"/>
      <c r="Q70" s="297"/>
      <c r="R70" s="297"/>
      <c r="S70" s="169"/>
      <c r="T70" s="168"/>
      <c r="U70" s="168"/>
      <c r="V70" s="168"/>
      <c r="W70" s="168"/>
      <c r="X70" s="168"/>
    </row>
    <row r="71" spans="1:24" ht="18.75" thickTop="1" x14ac:dyDescent="0.25">
      <c r="A71" s="199"/>
      <c r="B71" s="58"/>
      <c r="C71" s="67" t="str">
        <f>IF((A46&gt;0),"",(IF((D34="N"),L28,G77)))</f>
        <v>Subsidised - Adjusted by EFC</v>
      </c>
      <c r="D71" s="277">
        <f>IF((A46&gt;0),0,H77)</f>
        <v>3500</v>
      </c>
      <c r="E71" s="24" t="str">
        <f>IF((N61&gt;0),"Grossed up for fees","")</f>
        <v/>
      </c>
      <c r="F71" s="332"/>
      <c r="G71" s="297" t="s">
        <v>195</v>
      </c>
      <c r="H71" s="305">
        <f>SUM(I50:I53)</f>
        <v>0</v>
      </c>
      <c r="I71" s="297"/>
      <c r="J71" s="297"/>
      <c r="K71" s="305"/>
      <c r="L71" s="305"/>
      <c r="M71" s="234"/>
      <c r="N71" s="234"/>
      <c r="O71" s="22"/>
      <c r="P71" s="297"/>
      <c r="Q71" s="297"/>
      <c r="R71" s="297"/>
    </row>
    <row r="72" spans="1:24" ht="18" customHeight="1" thickBot="1" x14ac:dyDescent="0.3">
      <c r="A72" s="199"/>
      <c r="B72" s="58"/>
      <c r="C72" s="67" t="str">
        <f>IF((A46&gt;0),"",G78)</f>
        <v>Unsubsidised</v>
      </c>
      <c r="D72" s="277">
        <f>IF((A46&gt;0),0,H78)</f>
        <v>2000</v>
      </c>
      <c r="E72" s="24" t="str">
        <f>IF((N65&gt;0),"Grossed up for fees","")</f>
        <v/>
      </c>
      <c r="F72" s="332"/>
      <c r="G72" s="356" t="s">
        <v>196</v>
      </c>
      <c r="H72" s="357">
        <f>SUM(H70:H71)</f>
        <v>37448</v>
      </c>
      <c r="I72" s="297"/>
      <c r="J72" s="297" t="s">
        <v>197</v>
      </c>
      <c r="K72" s="305">
        <f>IF((D29="Y"),0,(H5-K63-L67))</f>
        <v>72578</v>
      </c>
      <c r="L72" s="305" t="s">
        <v>198</v>
      </c>
      <c r="M72" s="297"/>
      <c r="N72" s="234"/>
      <c r="O72" s="22"/>
      <c r="P72" s="297"/>
      <c r="Q72" s="297"/>
      <c r="R72" s="297"/>
    </row>
    <row r="73" spans="1:24" ht="15.6" customHeight="1" thickTop="1" x14ac:dyDescent="0.25">
      <c r="A73" s="199" t="s">
        <v>199</v>
      </c>
      <c r="B73" s="58"/>
      <c r="C73" s="67" t="str">
        <f>G79</f>
        <v/>
      </c>
      <c r="D73" s="277"/>
      <c r="E73" s="69"/>
      <c r="F73" s="332"/>
      <c r="G73" s="297"/>
      <c r="H73" s="297"/>
      <c r="I73" s="297"/>
      <c r="J73" s="297"/>
      <c r="K73" s="305"/>
      <c r="L73" s="305"/>
      <c r="M73" s="297"/>
      <c r="N73" s="297"/>
      <c r="O73" s="358"/>
      <c r="P73" s="297"/>
      <c r="Q73" s="297"/>
      <c r="R73" s="297"/>
    </row>
    <row r="74" spans="1:24" ht="15" x14ac:dyDescent="0.2">
      <c r="A74" s="199" t="s">
        <v>200</v>
      </c>
      <c r="B74" s="58"/>
      <c r="C74" s="67" t="str">
        <f>IF((A46&gt;0),"",G80)</f>
        <v>Maximum PLUS Loan allowed for this CoA before grossing up for fees</v>
      </c>
      <c r="D74" s="277">
        <f>IF((A46&gt;0),0,H80)</f>
        <v>31948</v>
      </c>
      <c r="F74" s="332"/>
      <c r="G74" s="297"/>
      <c r="H74" s="297"/>
      <c r="I74" s="297"/>
      <c r="J74" s="49" t="s">
        <v>201</v>
      </c>
      <c r="K74" s="346">
        <f>IF((D28="Y"),0,(IF((((K70/(100-N54)*100))&lt;K72),((K70/(100-N54)*100)),(((K72+M63+M67)/(100-N54))*100))))</f>
        <v>33419.094307313193</v>
      </c>
      <c r="L74" s="305"/>
      <c r="M74" s="305"/>
      <c r="N74" s="297"/>
      <c r="O74" s="359"/>
      <c r="P74" s="297"/>
      <c r="Q74" s="297"/>
      <c r="R74" s="297"/>
    </row>
    <row r="75" spans="1:24" ht="20.25" x14ac:dyDescent="0.3">
      <c r="A75" s="199"/>
      <c r="B75" s="58"/>
      <c r="C75" s="241" t="str">
        <f>G82</f>
        <v/>
      </c>
      <c r="D75" s="284">
        <f>H82</f>
        <v>0</v>
      </c>
      <c r="E75" s="24"/>
      <c r="F75" s="298"/>
      <c r="G75" s="235" t="s">
        <v>202</v>
      </c>
      <c r="H75" s="236" t="s">
        <v>170</v>
      </c>
      <c r="I75" s="297"/>
      <c r="J75" s="297"/>
      <c r="K75" s="297"/>
      <c r="L75" s="305"/>
      <c r="M75" s="297"/>
      <c r="N75" s="305"/>
      <c r="O75" s="359"/>
      <c r="P75" s="297"/>
      <c r="Q75" s="297"/>
      <c r="R75" s="297"/>
    </row>
    <row r="76" spans="1:24" ht="21" thickBot="1" x14ac:dyDescent="0.35">
      <c r="A76" s="199"/>
      <c r="B76" s="58"/>
      <c r="C76" s="70" t="str">
        <f>IF((A46&gt;0),"",G83)</f>
        <v>Total Eligible before adjustment for Fees</v>
      </c>
      <c r="D76" s="278">
        <f>IF((A46&gt;0),0,H83)</f>
        <v>37448</v>
      </c>
      <c r="E76" s="24"/>
      <c r="F76" s="332"/>
      <c r="G76" s="235" t="s">
        <v>203</v>
      </c>
      <c r="H76" s="236"/>
      <c r="I76" s="297"/>
      <c r="J76" s="49" t="s">
        <v>204</v>
      </c>
      <c r="K76" s="297"/>
      <c r="L76" s="297"/>
      <c r="M76" s="297"/>
      <c r="N76" s="360"/>
      <c r="O76" s="359"/>
      <c r="P76" s="297"/>
      <c r="Q76" s="297"/>
      <c r="R76" s="297"/>
    </row>
    <row r="77" spans="1:24" ht="18.75" thickTop="1" x14ac:dyDescent="0.25">
      <c r="A77" s="203">
        <v>5</v>
      </c>
      <c r="B77" s="193"/>
      <c r="C77" s="194" t="s">
        <v>205</v>
      </c>
      <c r="D77" s="361"/>
      <c r="E77" s="362"/>
      <c r="F77" s="332"/>
      <c r="G77" s="342" t="s">
        <v>206</v>
      </c>
      <c r="H77" s="305">
        <f>K63</f>
        <v>3500</v>
      </c>
      <c r="I77" s="297"/>
      <c r="J77" s="297">
        <f>(IF(AND(D35="N",D34="Y"),1,0))+(IF((D39="I"),1,0))</f>
        <v>1</v>
      </c>
      <c r="K77" s="297" t="s">
        <v>207</v>
      </c>
      <c r="L77" s="297"/>
      <c r="M77" s="297"/>
      <c r="N77" s="360"/>
      <c r="O77" s="359"/>
      <c r="P77" s="305"/>
      <c r="Q77" s="297"/>
      <c r="R77" s="297"/>
    </row>
    <row r="78" spans="1:24" ht="18" x14ac:dyDescent="0.25">
      <c r="A78" s="199"/>
      <c r="B78" s="58"/>
      <c r="C78" s="22" t="str">
        <f>IF(H68&gt;H5, I96,"  ")</f>
        <v xml:space="preserve">  </v>
      </c>
      <c r="D78" s="25"/>
      <c r="E78" s="26"/>
      <c r="F78" s="338"/>
      <c r="G78" s="342" t="s">
        <v>208</v>
      </c>
      <c r="H78" s="305">
        <f>L67</f>
        <v>2000</v>
      </c>
      <c r="I78" s="297"/>
      <c r="J78" s="297"/>
      <c r="K78" s="297"/>
      <c r="L78" s="297"/>
      <c r="M78" s="297"/>
      <c r="N78" s="297"/>
      <c r="O78" s="297"/>
      <c r="P78" s="305"/>
      <c r="Q78" s="297"/>
      <c r="R78" s="297"/>
    </row>
    <row r="79" spans="1:24" ht="18.75" thickBot="1" x14ac:dyDescent="0.3">
      <c r="A79" s="199"/>
      <c r="B79" s="58"/>
      <c r="C79" s="23" t="str">
        <f>IF((A46&gt;0),"",(IF(H68&gt;H5, I97,I98)))</f>
        <v>You are allowed to borrow up to the values above</v>
      </c>
      <c r="D79" s="27"/>
      <c r="E79" s="28"/>
      <c r="F79" s="338"/>
      <c r="G79" s="342" t="str">
        <f>IF((J77=2),K77,(IF((H70&gt;H5),"PLUS Loan to fulfil this CoA","")))</f>
        <v/>
      </c>
      <c r="H79" s="297"/>
      <c r="I79" s="297"/>
      <c r="J79" s="297"/>
      <c r="K79" s="297"/>
      <c r="L79" s="297"/>
      <c r="M79" s="297"/>
      <c r="N79" s="297"/>
      <c r="O79" s="297"/>
      <c r="P79" s="297"/>
      <c r="Q79" s="297"/>
      <c r="R79" s="297"/>
    </row>
    <row r="80" spans="1:24" ht="18" x14ac:dyDescent="0.25">
      <c r="A80" s="204">
        <v>6</v>
      </c>
      <c r="B80" s="195"/>
      <c r="C80" s="196" t="str">
        <f>IF((D27=G12),"THIS SECTION DOES NOT APPLY TO SALLIE MAE LOANS","YOU TELL US HOW MUCH WOULD YOU LIKE TO BORROW - YOU MAY REDUCE THE FIGURES IN BLUE")</f>
        <v>YOU TELL US HOW MUCH WOULD YOU LIKE TO BORROW - YOU MAY REDUCE THE FIGURES IN BLUE</v>
      </c>
      <c r="D80" s="197"/>
      <c r="E80" s="198"/>
      <c r="F80" s="338"/>
      <c r="G80" s="342" t="str">
        <f>IF((J77=2),"","Maximum PLUS Loan allowed for this CoA before grossing up for fees")</f>
        <v>Maximum PLUS Loan allowed for this CoA before grossing up for fees</v>
      </c>
      <c r="H80" s="363">
        <f>IF((J77=2),"",(IF((K70&lt;K72),(K70-M67-M63),K72)))</f>
        <v>31948</v>
      </c>
      <c r="I80" s="49"/>
      <c r="J80" s="297"/>
      <c r="K80" s="297"/>
      <c r="L80" s="297"/>
      <c r="M80" s="297"/>
      <c r="N80" s="297"/>
      <c r="O80" s="297"/>
      <c r="P80" s="297"/>
      <c r="Q80" s="297"/>
      <c r="R80" s="297"/>
    </row>
    <row r="81" spans="1:32" ht="54" x14ac:dyDescent="0.2">
      <c r="A81" s="364" t="s">
        <v>209</v>
      </c>
      <c r="B81" s="365" t="s">
        <v>210</v>
      </c>
      <c r="C81" s="366" t="s">
        <v>211</v>
      </c>
      <c r="D81" s="264" t="s">
        <v>212</v>
      </c>
      <c r="E81" s="159" t="s">
        <v>213</v>
      </c>
      <c r="F81" s="367"/>
      <c r="G81" s="342" t="s">
        <v>214</v>
      </c>
      <c r="H81" s="363"/>
      <c r="I81" s="297" t="s">
        <v>215</v>
      </c>
      <c r="J81" s="297" t="s">
        <v>216</v>
      </c>
      <c r="K81" s="297"/>
      <c r="L81" s="297"/>
      <c r="M81" s="297"/>
      <c r="N81" s="297"/>
      <c r="O81" s="297"/>
      <c r="P81" s="297"/>
      <c r="Q81" s="297"/>
      <c r="R81" s="297"/>
    </row>
    <row r="82" spans="1:32" ht="15.75" x14ac:dyDescent="0.2">
      <c r="A82" s="281">
        <f>IF((A46&gt;0),0,(IF((D27=G12),0,G90)))</f>
        <v>3500</v>
      </c>
      <c r="B82" s="160">
        <f>O52</f>
        <v>1.057E-2</v>
      </c>
      <c r="C82" s="161" t="str">
        <f>C71</f>
        <v>Subsidised - Adjusted by EFC</v>
      </c>
      <c r="D82" s="368">
        <f>A82</f>
        <v>3500</v>
      </c>
      <c r="E82" s="279">
        <f>ROUND(((D82*(1-O52))),0)</f>
        <v>3463</v>
      </c>
      <c r="F82" s="369"/>
      <c r="G82" s="359" t="str">
        <f>IF((H82&gt;1),("Private (Salie Mae) Loan"),"")</f>
        <v/>
      </c>
      <c r="H82" s="72">
        <f>MAX(I82:J82)</f>
        <v>0</v>
      </c>
      <c r="I82" s="297" t="str">
        <f>IF((D29="Y"),H72,"")</f>
        <v/>
      </c>
      <c r="J82" s="297" t="str">
        <f>IF((D28="Y"),(H80+M63+M67),"")</f>
        <v/>
      </c>
      <c r="K82" s="297"/>
      <c r="L82" s="297"/>
      <c r="M82" s="297"/>
      <c r="N82" s="297"/>
      <c r="O82" s="297"/>
      <c r="P82" s="297"/>
      <c r="Q82" s="297"/>
      <c r="R82" s="297"/>
    </row>
    <row r="83" spans="1:32" s="138" customFormat="1" ht="16.5" thickBot="1" x14ac:dyDescent="0.3">
      <c r="A83" s="281">
        <f>IF((A46&gt;0),0,(IF((D27=G12),0,G91)))</f>
        <v>2000</v>
      </c>
      <c r="B83" s="160">
        <f>O53</f>
        <v>1.057E-2</v>
      </c>
      <c r="C83" s="161" t="s">
        <v>208</v>
      </c>
      <c r="D83" s="368">
        <f>A83</f>
        <v>2000</v>
      </c>
      <c r="E83" s="279">
        <f>ROUND(((D83*(1-O53))),0)</f>
        <v>1979</v>
      </c>
      <c r="F83" s="369"/>
      <c r="G83" s="353" t="s">
        <v>217</v>
      </c>
      <c r="H83" s="370">
        <f>SUM(H77:H81)</f>
        <v>37448</v>
      </c>
      <c r="P83" s="355"/>
      <c r="Q83" s="355"/>
      <c r="R83" s="297"/>
      <c r="S83" s="169"/>
      <c r="T83" s="169"/>
      <c r="U83" s="169"/>
      <c r="V83" s="169"/>
      <c r="W83" s="169"/>
      <c r="X83" s="169"/>
      <c r="Y83"/>
      <c r="Z83"/>
      <c r="AA83"/>
      <c r="AB83"/>
      <c r="AC83"/>
      <c r="AD83"/>
      <c r="AE83"/>
      <c r="AF83"/>
    </row>
    <row r="84" spans="1:32" s="139" customFormat="1" ht="18.75" thickTop="1" x14ac:dyDescent="0.25">
      <c r="A84" s="281">
        <f>G92</f>
        <v>0</v>
      </c>
      <c r="B84" s="160">
        <v>0</v>
      </c>
      <c r="C84" s="161" t="str">
        <f>G82</f>
        <v/>
      </c>
      <c r="D84" s="368">
        <f>G92</f>
        <v>0</v>
      </c>
      <c r="E84" s="279">
        <f>H92</f>
        <v>0</v>
      </c>
      <c r="F84" s="369"/>
      <c r="G84" s="72"/>
      <c r="H84" s="72"/>
      <c r="I84" s="297"/>
      <c r="P84" s="22"/>
      <c r="Q84" s="22"/>
      <c r="R84" s="355"/>
      <c r="S84" s="171"/>
      <c r="T84" s="171"/>
      <c r="U84" s="171"/>
      <c r="V84" s="171"/>
      <c r="W84" s="171"/>
      <c r="X84" s="171"/>
      <c r="Y84" s="138"/>
      <c r="Z84" s="138"/>
      <c r="AA84" s="138"/>
      <c r="AB84" s="138"/>
      <c r="AC84" s="138"/>
      <c r="AD84" s="138"/>
      <c r="AE84" s="138"/>
      <c r="AF84" s="138"/>
    </row>
    <row r="85" spans="1:32" s="158" customFormat="1" ht="18" x14ac:dyDescent="0.25">
      <c r="A85" s="281">
        <f>IF((A46&gt;0),0,(IF((D27=G12),0,G93)))</f>
        <v>33419</v>
      </c>
      <c r="B85" s="160">
        <f>O54</f>
        <v>4.2279999999999998E-2</v>
      </c>
      <c r="C85" s="161" t="str">
        <f>IF((J77=2),K77,"PLUS Loan (Adjusted up to include all fees)")</f>
        <v>PLUS Loan (Adjusted up to include all fees)</v>
      </c>
      <c r="D85" s="368">
        <f>IF((A85=""),0,((ROUND(A85,0))))</f>
        <v>33419</v>
      </c>
      <c r="E85" s="279">
        <f>ROUND(((D85*(1-O54))),0)</f>
        <v>32006</v>
      </c>
      <c r="F85" s="371" t="str">
        <f>IF((D82&gt;A82),("You cannot borrow more than  "&amp;A82),"")</f>
        <v/>
      </c>
      <c r="G85" s="22"/>
      <c r="H85" s="355" t="s">
        <v>218</v>
      </c>
      <c r="I85" s="297"/>
      <c r="P85" s="22"/>
      <c r="Q85" s="22"/>
      <c r="R85" s="22"/>
      <c r="S85" s="172"/>
      <c r="T85" s="172"/>
      <c r="U85" s="172"/>
      <c r="V85" s="172"/>
      <c r="W85" s="172"/>
      <c r="X85" s="172"/>
      <c r="Y85" s="139"/>
      <c r="Z85" s="139"/>
      <c r="AA85" s="139"/>
      <c r="AB85" s="139"/>
      <c r="AC85" s="139"/>
      <c r="AD85" s="139"/>
      <c r="AE85" s="139"/>
      <c r="AF85" s="139"/>
    </row>
    <row r="86" spans="1:32" s="158" customFormat="1" ht="18.75" thickBot="1" x14ac:dyDescent="0.3">
      <c r="A86" s="281">
        <f>IF((A46&gt;0),0,(IF((D27=G12),0,G94)))</f>
        <v>38919</v>
      </c>
      <c r="B86" s="162"/>
      <c r="C86" s="163" t="s">
        <v>219</v>
      </c>
      <c r="D86" s="280">
        <f>SUM(D82:D85)</f>
        <v>38919</v>
      </c>
      <c r="E86" s="280">
        <f>SUM(E82:E85)</f>
        <v>37448</v>
      </c>
      <c r="F86" s="371" t="str">
        <f>IF((D83&gt;A83),("You cannot borrow more than  "&amp;A83),"")</f>
        <v/>
      </c>
      <c r="G86" s="22"/>
      <c r="H86" s="355" t="s">
        <v>220</v>
      </c>
      <c r="I86" s="297"/>
      <c r="P86" s="358"/>
      <c r="Q86" s="358"/>
      <c r="R86" s="358"/>
      <c r="S86" s="174"/>
      <c r="T86" s="174"/>
      <c r="U86" s="174"/>
      <c r="V86" s="174"/>
      <c r="W86" s="174"/>
      <c r="X86" s="174"/>
    </row>
    <row r="87" spans="1:32" s="72" customFormat="1" ht="18.75" thickTop="1" x14ac:dyDescent="0.25">
      <c r="A87" s="205" t="s">
        <v>221</v>
      </c>
      <c r="B87" s="164"/>
      <c r="C87" s="165">
        <f>IF((A46&gt;0),"",(IF((D86&lt;(H5*1.04)),I100,I102)))</f>
        <v>0</v>
      </c>
      <c r="D87" s="31"/>
      <c r="E87" s="31"/>
      <c r="F87" s="371" t="str">
        <f>IF((D85&gt;A85),("You cannot borrow more than  "&amp;ROUND(A85,2)),"")</f>
        <v/>
      </c>
      <c r="G87" s="359"/>
      <c r="H87" s="372" t="s">
        <v>222</v>
      </c>
      <c r="I87" s="297"/>
      <c r="P87" s="359"/>
      <c r="Q87" s="359"/>
      <c r="R87" s="358"/>
      <c r="S87" s="174"/>
      <c r="T87" s="174"/>
      <c r="U87" s="174"/>
      <c r="V87" s="174"/>
      <c r="W87" s="174"/>
      <c r="X87" s="174"/>
      <c r="Y87" s="158"/>
      <c r="Z87" s="158"/>
      <c r="AA87" s="158"/>
      <c r="AB87" s="158"/>
      <c r="AC87" s="158"/>
      <c r="AD87" s="158"/>
      <c r="AE87" s="158"/>
      <c r="AF87" s="158"/>
    </row>
    <row r="88" spans="1:32" s="72" customFormat="1" ht="18" x14ac:dyDescent="0.25">
      <c r="A88" s="199"/>
      <c r="B88" s="16"/>
      <c r="C88" s="165">
        <f>IF((A46&gt;0),"",(IF((D86&lt;(H5*1.04)),I101,I108)))</f>
        <v>0</v>
      </c>
      <c r="D88" s="31"/>
      <c r="F88" s="371" t="str">
        <f>IF((D86&gt;A86),("You cannot borrow more than  "&amp;ROUND(A86,2)),"")</f>
        <v/>
      </c>
      <c r="G88" s="359"/>
      <c r="H88" s="358"/>
      <c r="I88" s="297"/>
      <c r="P88" s="359"/>
      <c r="Q88" s="359"/>
      <c r="R88" s="359"/>
      <c r="S88" s="173"/>
      <c r="T88" s="173"/>
      <c r="U88" s="173"/>
      <c r="V88" s="173"/>
      <c r="W88" s="173"/>
      <c r="X88" s="173"/>
    </row>
    <row r="89" spans="1:32" s="72" customFormat="1" ht="18" x14ac:dyDescent="0.25">
      <c r="A89" s="199"/>
      <c r="B89" s="16"/>
      <c r="C89" s="165" t="str">
        <f>IF((A46&gt;0),"REMEMBER - TELL US WHEN YOU HAVE DONE YOUR SALLIE MAE APPLICATION SO WE CAN CERTIFY IT","")</f>
        <v/>
      </c>
      <c r="D89" s="31"/>
      <c r="E89" s="373" t="str">
        <f>IF((E86&lt;&gt;D76),"Includes $"&amp;(ROUND((E86-D76),0))&amp;" rounding differences","")</f>
        <v/>
      </c>
      <c r="F89" s="374"/>
      <c r="G89" s="375" t="s">
        <v>223</v>
      </c>
      <c r="H89" s="376" t="s">
        <v>213</v>
      </c>
      <c r="I89" s="297"/>
      <c r="P89" s="359"/>
      <c r="Q89" s="359"/>
      <c r="R89" s="359"/>
      <c r="S89" s="173"/>
      <c r="T89" s="173"/>
      <c r="U89" s="173"/>
      <c r="V89" s="173"/>
      <c r="W89" s="173"/>
      <c r="X89" s="173"/>
    </row>
    <row r="90" spans="1:32" s="72" customFormat="1" ht="18" x14ac:dyDescent="0.25">
      <c r="A90" s="282">
        <v>8</v>
      </c>
      <c r="B90" s="256"/>
      <c r="C90" s="256" t="s">
        <v>224</v>
      </c>
      <c r="D90" s="256"/>
      <c r="E90" s="256"/>
      <c r="F90" s="374"/>
      <c r="G90" s="377">
        <f>ROUND(K63,0)</f>
        <v>3500</v>
      </c>
      <c r="H90" s="378">
        <f>ROUND(((G90*(1-O52))),0)</f>
        <v>3463</v>
      </c>
      <c r="I90" s="297" t="s">
        <v>225</v>
      </c>
      <c r="P90" s="359"/>
      <c r="Q90" s="359"/>
      <c r="R90" s="359"/>
      <c r="S90" s="173"/>
      <c r="T90" s="173"/>
      <c r="U90" s="173"/>
      <c r="V90" s="173"/>
      <c r="W90" s="173"/>
      <c r="X90" s="173"/>
    </row>
    <row r="91" spans="1:32" s="72" customFormat="1" ht="15" x14ac:dyDescent="0.2">
      <c r="A91" s="199"/>
      <c r="B91" s="175">
        <f>B82</f>
        <v>1.057E-2</v>
      </c>
      <c r="C91" s="166" t="str">
        <f>C82&amp;" Origination Fee of "&amp;L52&amp;"% less Interest Rebate of "&amp;M52&amp;"%"</f>
        <v>Subsidised - Adjusted by EFC Origination Fee of 1.057% less Interest Rebate of 0%</v>
      </c>
      <c r="D91" s="31"/>
      <c r="E91" s="58"/>
      <c r="F91" s="374"/>
      <c r="G91" s="377">
        <f>ROUND(L67,0)</f>
        <v>2000</v>
      </c>
      <c r="H91" s="378">
        <f>ROUND(((G91*(1-O53))),0)</f>
        <v>1979</v>
      </c>
      <c r="I91" s="297" t="s">
        <v>226</v>
      </c>
      <c r="N91" s="305"/>
      <c r="O91" s="359"/>
      <c r="P91" s="359"/>
      <c r="Q91" s="359"/>
      <c r="R91" s="379"/>
      <c r="S91" s="173"/>
      <c r="T91" s="173"/>
      <c r="U91" s="173"/>
      <c r="V91" s="173"/>
      <c r="W91" s="173"/>
      <c r="X91" s="173"/>
    </row>
    <row r="92" spans="1:32" s="72" customFormat="1" ht="15" x14ac:dyDescent="0.2">
      <c r="A92" s="199"/>
      <c r="B92" s="175">
        <f>B83</f>
        <v>1.057E-2</v>
      </c>
      <c r="C92" s="166" t="str">
        <f>C83&amp;" Origination Fee of "&amp;L53&amp;"% less Interest Rebate of "&amp;M53&amp;"%"</f>
        <v>Unsubsidised Origination Fee of 1.057% less Interest Rebate of 0%</v>
      </c>
      <c r="D92" s="31"/>
      <c r="E92" s="58"/>
      <c r="F92" s="374"/>
      <c r="G92" s="377">
        <f>H82</f>
        <v>0</v>
      </c>
      <c r="H92" s="378">
        <f>G92</f>
        <v>0</v>
      </c>
      <c r="I92" s="297" t="s">
        <v>227</v>
      </c>
      <c r="J92" s="297"/>
      <c r="K92" s="297"/>
      <c r="L92" s="297"/>
      <c r="M92" s="297"/>
      <c r="N92" s="305"/>
      <c r="O92" s="359"/>
      <c r="P92" s="379"/>
      <c r="Q92" s="379"/>
      <c r="R92" s="359"/>
      <c r="S92" s="173"/>
      <c r="T92" s="173"/>
      <c r="U92" s="173"/>
      <c r="V92" s="173"/>
      <c r="W92" s="173"/>
      <c r="X92" s="173"/>
    </row>
    <row r="93" spans="1:32" s="72" customFormat="1" ht="15" x14ac:dyDescent="0.2">
      <c r="A93" s="199"/>
      <c r="B93" s="175">
        <f>B85</f>
        <v>4.2279999999999998E-2</v>
      </c>
      <c r="C93" s="166" t="str">
        <f>C85&amp;" Origination Fee of "&amp;L54&amp;"% less Interest Rebate of "&amp;M54&amp;"%"</f>
        <v>PLUS Loan (Adjusted up to include all fees) Origination Fee of 4.228% less Interest Rebate of 0%</v>
      </c>
      <c r="D93" s="31"/>
      <c r="E93" s="58"/>
      <c r="F93" s="380"/>
      <c r="G93" s="377">
        <f>IF((J77=2),"",(ROUND(K74,0)))</f>
        <v>33419</v>
      </c>
      <c r="H93" s="378">
        <f>ROUND(((G93*(1-O54))),0)</f>
        <v>32006</v>
      </c>
      <c r="I93" s="297" t="s">
        <v>228</v>
      </c>
      <c r="J93" s="297"/>
      <c r="K93" s="297"/>
      <c r="L93" s="297"/>
      <c r="M93" s="297"/>
      <c r="N93" s="360"/>
      <c r="O93" s="359"/>
      <c r="P93" s="359"/>
      <c r="Q93" s="381"/>
      <c r="R93" s="359"/>
      <c r="S93" s="173"/>
      <c r="T93" s="173"/>
      <c r="U93" s="173"/>
      <c r="V93" s="173"/>
      <c r="W93" s="173"/>
      <c r="X93" s="173"/>
    </row>
    <row r="94" spans="1:32" s="72" customFormat="1" ht="21" thickBot="1" x14ac:dyDescent="0.35">
      <c r="A94" s="199"/>
      <c r="B94" s="58"/>
      <c r="C94" s="219" t="s">
        <v>229</v>
      </c>
      <c r="D94" s="31"/>
      <c r="E94" s="58"/>
      <c r="F94" s="380"/>
      <c r="G94" s="382">
        <f>SUM(G90:G93)</f>
        <v>38919</v>
      </c>
      <c r="H94" s="383">
        <f>SUM(H90:H93)</f>
        <v>37448</v>
      </c>
      <c r="I94" s="297" t="s">
        <v>230</v>
      </c>
      <c r="J94" s="297"/>
      <c r="K94" s="297"/>
      <c r="L94" s="297"/>
      <c r="M94" s="297"/>
      <c r="N94" s="360"/>
      <c r="O94" s="359"/>
      <c r="P94" s="359"/>
      <c r="Q94" s="359"/>
      <c r="R94" s="359"/>
      <c r="S94" s="173"/>
      <c r="T94" s="173"/>
      <c r="U94" s="173"/>
      <c r="V94" s="173"/>
      <c r="W94" s="173"/>
      <c r="X94" s="173"/>
    </row>
    <row r="95" spans="1:32" s="72" customFormat="1" ht="16.5" thickTop="1" x14ac:dyDescent="0.25">
      <c r="A95" s="199"/>
      <c r="B95" s="58"/>
      <c r="C95" s="58"/>
      <c r="D95" s="58"/>
      <c r="E95" s="58"/>
      <c r="F95" s="380"/>
      <c r="G95" s="359"/>
      <c r="I95" s="297"/>
      <c r="J95" s="355"/>
      <c r="K95" s="355"/>
      <c r="L95" s="355"/>
      <c r="M95" s="355"/>
      <c r="N95" s="355"/>
      <c r="O95" s="359"/>
      <c r="P95" s="359"/>
      <c r="Q95" s="359"/>
      <c r="R95" s="359"/>
      <c r="S95" s="173"/>
      <c r="T95" s="173"/>
      <c r="U95" s="173"/>
      <c r="V95" s="173"/>
      <c r="W95" s="173"/>
      <c r="X95" s="173"/>
    </row>
    <row r="96" spans="1:32" s="72" customFormat="1" ht="18" x14ac:dyDescent="0.25">
      <c r="A96" s="68"/>
      <c r="B96" s="30"/>
      <c r="C96"/>
      <c r="D96" s="15"/>
      <c r="E96" s="15"/>
      <c r="F96" s="384"/>
      <c r="G96" s="359"/>
      <c r="H96" s="372" t="s">
        <v>218</v>
      </c>
      <c r="I96" s="385" t="s">
        <v>231</v>
      </c>
      <c r="J96" s="22"/>
      <c r="K96" s="22"/>
      <c r="L96" s="22"/>
      <c r="M96" s="22"/>
      <c r="N96" s="22"/>
      <c r="O96" s="359"/>
      <c r="P96" s="359"/>
      <c r="Q96" s="359"/>
      <c r="R96" s="359"/>
      <c r="S96" s="173"/>
      <c r="T96" s="173"/>
      <c r="U96" s="173"/>
      <c r="V96" s="173"/>
      <c r="W96" s="173"/>
      <c r="X96" s="173"/>
    </row>
    <row r="97" spans="1:32" s="72" customFormat="1" ht="18" x14ac:dyDescent="0.25">
      <c r="A97" s="30"/>
      <c r="B97" s="30"/>
      <c r="C97"/>
      <c r="D97" s="15"/>
      <c r="E97" s="15"/>
      <c r="F97" s="384"/>
      <c r="G97" s="359"/>
      <c r="I97" s="385" t="s">
        <v>232</v>
      </c>
      <c r="J97" s="22"/>
      <c r="K97" s="22"/>
      <c r="L97" s="22"/>
      <c r="M97" s="22"/>
      <c r="N97" s="22"/>
      <c r="O97" s="359"/>
      <c r="P97" s="359"/>
      <c r="Q97" s="359"/>
      <c r="R97" s="359"/>
      <c r="S97" s="173"/>
      <c r="T97" s="173"/>
      <c r="U97" s="173"/>
      <c r="V97" s="173"/>
      <c r="W97" s="173"/>
      <c r="X97" s="173"/>
    </row>
    <row r="98" spans="1:32" s="72" customFormat="1" ht="18" x14ac:dyDescent="0.25">
      <c r="G98" s="359"/>
      <c r="I98" s="386" t="s">
        <v>233</v>
      </c>
      <c r="J98" s="358"/>
      <c r="K98" s="358"/>
      <c r="L98" s="358"/>
      <c r="M98" s="358"/>
      <c r="N98" s="358"/>
      <c r="O98" s="359"/>
      <c r="P98" s="359"/>
      <c r="Q98" s="359"/>
      <c r="R98" s="359"/>
      <c r="S98" s="173"/>
      <c r="T98" s="173"/>
      <c r="U98" s="173"/>
      <c r="V98" s="173"/>
      <c r="W98" s="173"/>
      <c r="X98" s="173"/>
    </row>
    <row r="99" spans="1:32" s="72" customFormat="1" ht="18" x14ac:dyDescent="0.25">
      <c r="I99" s="358"/>
      <c r="J99" s="359"/>
      <c r="K99" s="359"/>
      <c r="L99" s="359"/>
      <c r="M99" s="359"/>
      <c r="N99" s="359"/>
      <c r="O99" s="359"/>
      <c r="P99" s="359"/>
      <c r="Q99" s="359"/>
      <c r="R99" s="359"/>
      <c r="S99" s="173"/>
      <c r="T99" s="173"/>
      <c r="U99" s="173"/>
      <c r="V99" s="173"/>
      <c r="W99" s="173"/>
      <c r="X99" s="173"/>
    </row>
    <row r="100" spans="1:32" ht="18" x14ac:dyDescent="0.25">
      <c r="A100" s="72"/>
      <c r="B100" s="72"/>
      <c r="C100" s="72"/>
      <c r="D100" s="72"/>
      <c r="E100" s="72"/>
      <c r="F100" s="72"/>
      <c r="G100" s="72"/>
      <c r="H100" s="372"/>
      <c r="I100" s="165"/>
      <c r="J100" s="359"/>
      <c r="K100" s="359"/>
      <c r="L100" s="358"/>
      <c r="M100" s="358"/>
      <c r="N100" s="358"/>
      <c r="O100" s="359"/>
      <c r="P100" s="359"/>
      <c r="Q100" s="359"/>
      <c r="R100" s="359"/>
      <c r="S100" s="173"/>
      <c r="T100" s="173"/>
      <c r="U100" s="173"/>
      <c r="V100" s="173"/>
      <c r="W100" s="173"/>
      <c r="X100" s="173"/>
      <c r="Y100" s="72"/>
      <c r="Z100" s="72"/>
      <c r="AA100" s="72"/>
      <c r="AB100" s="72"/>
      <c r="AC100" s="72"/>
      <c r="AD100" s="72"/>
      <c r="AE100" s="72"/>
      <c r="AF100" s="72"/>
    </row>
    <row r="101" spans="1:32" ht="18" x14ac:dyDescent="0.25">
      <c r="F101" s="265"/>
      <c r="G101" s="297"/>
      <c r="H101" s="372"/>
      <c r="I101" s="165"/>
      <c r="J101" s="359"/>
      <c r="K101" s="359"/>
      <c r="L101" s="359"/>
      <c r="M101" s="359"/>
      <c r="N101" s="359"/>
      <c r="O101" s="297"/>
      <c r="P101" s="297"/>
      <c r="Q101" s="297"/>
      <c r="R101" s="297"/>
    </row>
    <row r="102" spans="1:32" ht="18" x14ac:dyDescent="0.25">
      <c r="F102" s="265"/>
      <c r="G102" s="297"/>
      <c r="H102" s="372"/>
      <c r="I102" s="387"/>
      <c r="J102" s="359"/>
      <c r="K102" s="359"/>
      <c r="L102" s="359"/>
      <c r="M102" s="359"/>
      <c r="N102" s="359"/>
      <c r="O102" s="297"/>
      <c r="P102" s="297"/>
      <c r="Q102" s="297"/>
      <c r="R102" s="297"/>
    </row>
    <row r="103" spans="1:32" x14ac:dyDescent="0.2">
      <c r="F103" s="265"/>
      <c r="G103" s="297"/>
      <c r="H103" s="297"/>
      <c r="I103" s="359"/>
      <c r="J103" s="359"/>
      <c r="K103" s="359"/>
      <c r="L103" s="359"/>
      <c r="M103" s="359"/>
      <c r="N103" s="359"/>
      <c r="O103" s="297"/>
      <c r="P103" s="297"/>
      <c r="Q103" s="297"/>
      <c r="R103" s="297"/>
    </row>
    <row r="104" spans="1:32" x14ac:dyDescent="0.2">
      <c r="F104" s="265"/>
      <c r="G104" s="297"/>
      <c r="H104" s="297"/>
      <c r="I104" s="359"/>
      <c r="J104" s="359"/>
      <c r="K104" s="359"/>
      <c r="L104" s="359"/>
      <c r="M104" s="359"/>
      <c r="N104" s="359"/>
      <c r="O104" s="297"/>
      <c r="P104" s="297"/>
      <c r="Q104" s="297"/>
      <c r="R104" s="297"/>
    </row>
    <row r="105" spans="1:32" x14ac:dyDescent="0.2">
      <c r="F105" s="265"/>
      <c r="G105" s="297"/>
      <c r="H105" s="297"/>
      <c r="I105" s="297"/>
      <c r="J105" s="359"/>
      <c r="K105" s="359"/>
      <c r="L105" s="359"/>
      <c r="M105" s="359"/>
      <c r="N105" s="359"/>
      <c r="O105" s="297"/>
      <c r="P105" s="297"/>
      <c r="Q105" s="297"/>
      <c r="R105" s="297"/>
    </row>
    <row r="106" spans="1:32" x14ac:dyDescent="0.2">
      <c r="F106" s="265"/>
      <c r="G106" s="297"/>
      <c r="H106" s="297"/>
      <c r="I106" s="297"/>
      <c r="J106" s="359"/>
      <c r="K106" s="359"/>
      <c r="L106" s="359"/>
      <c r="M106" s="359"/>
      <c r="N106" s="359"/>
      <c r="O106" s="297"/>
      <c r="P106" s="297"/>
      <c r="Q106" s="297"/>
      <c r="R106" s="297"/>
    </row>
    <row r="107" spans="1:32" x14ac:dyDescent="0.2">
      <c r="F107" s="265"/>
      <c r="G107" s="297"/>
      <c r="H107" s="297"/>
      <c r="I107" s="297"/>
      <c r="J107" s="359"/>
      <c r="K107" s="359"/>
      <c r="L107" s="359"/>
      <c r="M107" s="359"/>
      <c r="N107" s="359"/>
      <c r="O107" s="297"/>
      <c r="P107" s="297"/>
      <c r="Q107" s="297"/>
      <c r="R107" s="297"/>
    </row>
    <row r="108" spans="1:32" ht="20.25" x14ac:dyDescent="0.3">
      <c r="A108" s="283"/>
      <c r="F108" s="265"/>
      <c r="G108" s="297"/>
      <c r="H108" s="297"/>
      <c r="I108" s="359"/>
      <c r="J108" s="359"/>
      <c r="K108" s="359"/>
      <c r="L108" s="359"/>
      <c r="M108" s="359"/>
      <c r="N108" s="359"/>
      <c r="O108" s="297"/>
      <c r="P108" s="297"/>
      <c r="Q108" s="297"/>
      <c r="R108" s="297"/>
    </row>
  </sheetData>
  <sheetProtection selectLockedCells="1"/>
  <phoneticPr fontId="5" type="noConversion"/>
  <conditionalFormatting sqref="C33">
    <cfRule type="cellIs" dxfId="2" priority="4" stopIfTrue="1" operator="equal">
      <formula>"do not adjust this line"</formula>
    </cfRule>
  </conditionalFormatting>
  <conditionalFormatting sqref="C35:C37">
    <cfRule type="cellIs" dxfId="1" priority="1" stopIfTrue="1" operator="equal">
      <formula>"Do not adjust this line"</formula>
    </cfRule>
  </conditionalFormatting>
  <conditionalFormatting sqref="D71:D74 D76">
    <cfRule type="cellIs" dxfId="0" priority="24" stopIfTrue="1" operator="equal">
      <formula>0</formula>
    </cfRule>
  </conditionalFormatting>
  <dataValidations count="5">
    <dataValidation type="list" allowBlank="1" showInputMessage="1" showErrorMessage="1" sqref="D27:D37" xr:uid="{00000000-0002-0000-0100-000000000000}">
      <formula1>$H$9:$H$10</formula1>
    </dataValidation>
    <dataValidation type="list" allowBlank="1" showInputMessage="1" showErrorMessage="1" sqref="D39" xr:uid="{00000000-0002-0000-0100-000001000000}">
      <formula1>$G$9:$G$10</formula1>
    </dataValidation>
    <dataValidation type="list" allowBlank="1" showInputMessage="1" showErrorMessage="1" sqref="D38" xr:uid="{00000000-0002-0000-0100-000002000000}">
      <formula1>$I$9:$I$11</formula1>
    </dataValidation>
    <dataValidation type="list" allowBlank="1" showInputMessage="1" showErrorMessage="1" sqref="F39" xr:uid="{00000000-0002-0000-0100-000003000000}">
      <formula1>$I$9:$I$23</formula1>
    </dataValidation>
    <dataValidation type="list" showInputMessage="1" showErrorMessage="1" sqref="E63:E66" xr:uid="{00000000-0002-0000-0100-000004000000}">
      <formula1>$J$9:$J$10</formula1>
    </dataValidation>
  </dataValidations>
  <hyperlinks>
    <hyperlink ref="E33" r:id="rId1" display="https://fafsa.ed.gov/FAFSA/app/schoolSearch?locale=en_EN" xr:uid="{00000000-0004-0000-0100-000000000000}"/>
  </hyperlinks>
  <printOptions horizontalCentered="1" verticalCentered="1"/>
  <pageMargins left="0.31496062992125984" right="0.19685039370078741" top="0.19685039370078741" bottom="0.39370078740157483" header="0" footer="0"/>
  <pageSetup paperSize="9" scale="50" orientation="portrait" r:id="rId2"/>
  <headerFooter alignWithMargins="0"/>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E30"/>
  <sheetViews>
    <sheetView zoomScaleNormal="100" workbookViewId="0">
      <selection activeCell="B22" sqref="B22"/>
    </sheetView>
  </sheetViews>
  <sheetFormatPr defaultColWidth="9.140625" defaultRowHeight="12.75" x14ac:dyDescent="0.2"/>
  <cols>
    <col min="1" max="1" width="81.140625" bestFit="1" customWidth="1"/>
    <col min="2" max="2" width="13.28515625" bestFit="1" customWidth="1"/>
    <col min="3" max="3" width="116.85546875" customWidth="1"/>
    <col min="5" max="5" width="0" hidden="1" customWidth="1"/>
  </cols>
  <sheetData>
    <row r="1" spans="1:5" s="9" customFormat="1" x14ac:dyDescent="0.2">
      <c r="A1" s="124" t="s">
        <v>386</v>
      </c>
      <c r="B1" s="125"/>
      <c r="C1" s="126"/>
      <c r="E1" s="127" t="s">
        <v>387</v>
      </c>
    </row>
    <row r="2" spans="1:5" s="9" customFormat="1" x14ac:dyDescent="0.2">
      <c r="A2" s="128" t="s">
        <v>388</v>
      </c>
      <c r="C2" s="129"/>
      <c r="E2" s="127" t="s">
        <v>47</v>
      </c>
    </row>
    <row r="3" spans="1:5" s="9" customFormat="1" x14ac:dyDescent="0.2">
      <c r="A3" s="128" t="s">
        <v>389</v>
      </c>
      <c r="C3" s="129"/>
      <c r="E3" s="127"/>
    </row>
    <row r="4" spans="1:5" s="9" customFormat="1" x14ac:dyDescent="0.2">
      <c r="A4" s="128"/>
      <c r="C4" s="129"/>
      <c r="E4" s="127" t="s">
        <v>43</v>
      </c>
    </row>
    <row r="5" spans="1:5" s="9" customFormat="1" x14ac:dyDescent="0.2">
      <c r="A5" s="128"/>
      <c r="B5" s="9" t="s">
        <v>390</v>
      </c>
      <c r="C5" s="129" t="s">
        <v>391</v>
      </c>
      <c r="E5" s="127"/>
    </row>
    <row r="6" spans="1:5" s="9" customFormat="1" ht="15.75" x14ac:dyDescent="0.25">
      <c r="A6" s="130" t="s">
        <v>28</v>
      </c>
      <c r="B6" s="9" t="s">
        <v>392</v>
      </c>
      <c r="C6" s="390"/>
    </row>
    <row r="7" spans="1:5" s="9" customFormat="1" ht="15.75" x14ac:dyDescent="0.25">
      <c r="A7" s="131" t="s">
        <v>393</v>
      </c>
      <c r="B7" s="31" t="s">
        <v>394</v>
      </c>
      <c r="C7" s="391" t="str">
        <f t="shared" ref="C7:C12" si="0">IF((B7="n"),"Go back to the Cost of Attendance and enter it or we cannot process your application","")</f>
        <v>Go back to the Cost of Attendance and enter it or we cannot process your application</v>
      </c>
    </row>
    <row r="8" spans="1:5" s="9" customFormat="1" ht="15.75" x14ac:dyDescent="0.25">
      <c r="A8" s="131" t="s">
        <v>395</v>
      </c>
      <c r="B8" s="31" t="s">
        <v>394</v>
      </c>
      <c r="C8" s="391" t="str">
        <f t="shared" si="0"/>
        <v>Go back to the Cost of Attendance and enter it or we cannot process your application</v>
      </c>
    </row>
    <row r="9" spans="1:5" s="9" customFormat="1" ht="15.75" x14ac:dyDescent="0.25">
      <c r="A9" s="131" t="s">
        <v>396</v>
      </c>
      <c r="B9" s="31" t="s">
        <v>394</v>
      </c>
      <c r="C9" s="391" t="str">
        <f t="shared" si="0"/>
        <v>Go back to the Cost of Attendance and enter it or we cannot process your application</v>
      </c>
    </row>
    <row r="10" spans="1:5" ht="15.75" x14ac:dyDescent="0.25">
      <c r="A10" s="131" t="s">
        <v>397</v>
      </c>
      <c r="B10" s="31" t="s">
        <v>394</v>
      </c>
      <c r="C10" s="391" t="str">
        <f t="shared" si="0"/>
        <v>Go back to the Cost of Attendance and enter it or we cannot process your application</v>
      </c>
    </row>
    <row r="11" spans="1:5" ht="15.75" x14ac:dyDescent="0.25">
      <c r="A11" s="131" t="s">
        <v>398</v>
      </c>
      <c r="B11" s="31" t="s">
        <v>394</v>
      </c>
      <c r="C11" s="391" t="str">
        <f t="shared" si="0"/>
        <v>Go back to the Cost of Attendance and enter it or we cannot process your application</v>
      </c>
    </row>
    <row r="12" spans="1:5" ht="15.75" x14ac:dyDescent="0.25">
      <c r="A12" s="131" t="s">
        <v>399</v>
      </c>
      <c r="B12" s="31" t="s">
        <v>394</v>
      </c>
      <c r="C12" s="391" t="str">
        <f t="shared" si="0"/>
        <v>Go back to the Cost of Attendance and enter it or we cannot process your application</v>
      </c>
    </row>
    <row r="13" spans="1:5" x14ac:dyDescent="0.2">
      <c r="B13" s="72"/>
    </row>
    <row r="14" spans="1:5" x14ac:dyDescent="0.2">
      <c r="B14" s="132"/>
      <c r="C14" s="133"/>
    </row>
    <row r="15" spans="1:5" ht="15.75" x14ac:dyDescent="0.25">
      <c r="A15" s="134" t="s">
        <v>400</v>
      </c>
      <c r="B15" s="132"/>
      <c r="C15" s="391"/>
    </row>
    <row r="16" spans="1:5" x14ac:dyDescent="0.2">
      <c r="A16" s="131" t="s">
        <v>401</v>
      </c>
      <c r="B16" s="31" t="s">
        <v>394</v>
      </c>
    </row>
    <row r="17" spans="1:3" ht="15.75" x14ac:dyDescent="0.25">
      <c r="A17" s="131" t="str">
        <f>IF((B16="N"),"Have you signed up for selective service","")</f>
        <v>Have you signed up for selective service</v>
      </c>
      <c r="B17" s="31" t="s">
        <v>394</v>
      </c>
      <c r="C17" s="391"/>
    </row>
    <row r="18" spans="1:3" ht="15.75" x14ac:dyDescent="0.25">
      <c r="A18" s="131" t="str">
        <f>IF((B17="N"),"Have you attached proof you are exempt from selective service","")</f>
        <v>Have you attached proof you are exempt from selective service</v>
      </c>
      <c r="B18" s="31" t="s">
        <v>394</v>
      </c>
      <c r="C18" s="391" t="str">
        <f>IF(((B18="n")*AND(B17="n")),"Application Rejected","")</f>
        <v>Application Rejected</v>
      </c>
    </row>
    <row r="19" spans="1:3" ht="15.75" x14ac:dyDescent="0.25">
      <c r="A19" s="131"/>
      <c r="B19" s="132"/>
      <c r="C19" s="391"/>
    </row>
    <row r="20" spans="1:3" ht="15.75" x14ac:dyDescent="0.25">
      <c r="A20" s="134" t="s">
        <v>402</v>
      </c>
      <c r="B20" s="132"/>
      <c r="C20" s="391"/>
    </row>
    <row r="21" spans="1:3" ht="15.75" x14ac:dyDescent="0.25">
      <c r="A21" s="131" t="s">
        <v>451</v>
      </c>
      <c r="B21" s="31" t="s">
        <v>394</v>
      </c>
      <c r="C21" s="391" t="str">
        <f>IF((B21="n"),"Application Rejected","")</f>
        <v>Application Rejected</v>
      </c>
    </row>
    <row r="22" spans="1:3" ht="15.75" x14ac:dyDescent="0.25">
      <c r="A22" s="131" t="s">
        <v>403</v>
      </c>
      <c r="B22" s="31" t="s">
        <v>394</v>
      </c>
      <c r="C22" s="391"/>
    </row>
    <row r="23" spans="1:3" ht="15.75" x14ac:dyDescent="0.25">
      <c r="A23" s="131" t="str">
        <f>IF((B22="Y"),"Have you attached your PLUS MPN","")</f>
        <v/>
      </c>
      <c r="B23" s="31" t="s">
        <v>394</v>
      </c>
      <c r="C23" s="391" t="str">
        <f>IF(((B23="n")*AND(B22="y")),"Application Rejected","")</f>
        <v/>
      </c>
    </row>
    <row r="24" spans="1:3" ht="15.75" x14ac:dyDescent="0.25">
      <c r="A24" s="131" t="str">
        <f>IF((B22="Y"),"Have you attached your Credit Check result email or screenshot","")</f>
        <v/>
      </c>
      <c r="B24" s="31" t="s">
        <v>394</v>
      </c>
      <c r="C24" s="391" t="str">
        <f>IF(((B24="n")*AND(B22="y")),"Application Rejected","")</f>
        <v/>
      </c>
    </row>
    <row r="25" spans="1:3" ht="15.75" x14ac:dyDescent="0.25">
      <c r="A25" s="131"/>
      <c r="B25" s="132"/>
      <c r="C25" s="391"/>
    </row>
    <row r="26" spans="1:3" ht="15.75" x14ac:dyDescent="0.25">
      <c r="A26" s="134" t="s">
        <v>404</v>
      </c>
      <c r="B26" s="132"/>
      <c r="C26" s="391"/>
    </row>
    <row r="27" spans="1:3" ht="15.75" x14ac:dyDescent="0.25">
      <c r="A27" s="131" t="s">
        <v>405</v>
      </c>
      <c r="B27" s="31" t="s">
        <v>394</v>
      </c>
      <c r="C27" s="391" t="str">
        <f>IF((B27="n"),"Application Rejected","")</f>
        <v>Application Rejected</v>
      </c>
    </row>
    <row r="28" spans="1:3" ht="15.75" x14ac:dyDescent="0.25">
      <c r="A28" s="131"/>
      <c r="B28" s="132"/>
      <c r="C28" s="391" t="str">
        <f>IF((B28="n"),"Application Rejected","")</f>
        <v/>
      </c>
    </row>
    <row r="29" spans="1:3" s="135" customFormat="1" ht="16.5" thickBot="1" x14ac:dyDescent="0.3">
      <c r="A29" s="392" t="s">
        <v>406</v>
      </c>
      <c r="B29" s="393"/>
      <c r="C29" s="394"/>
    </row>
    <row r="30" spans="1:3" ht="15.75" x14ac:dyDescent="0.25">
      <c r="C30" s="299"/>
    </row>
  </sheetData>
  <sheetProtection selectLockedCells="1"/>
  <phoneticPr fontId="5" type="noConversion"/>
  <dataValidations count="1">
    <dataValidation type="list" allowBlank="1" showInputMessage="1" showErrorMessage="1" sqref="B16:B18 B7:B12 B21:B24 B27" xr:uid="{00000000-0002-0000-0400-000000000000}">
      <formula1>$E$2:$E$5</formula1>
    </dataValidation>
  </dataValidations>
  <pageMargins left="0.75" right="0.75" top="1" bottom="1" header="0.5" footer="0.5"/>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K62"/>
  <sheetViews>
    <sheetView zoomScaleNormal="100" workbookViewId="0">
      <selection activeCell="I52" sqref="I52"/>
    </sheetView>
  </sheetViews>
  <sheetFormatPr defaultColWidth="9.140625" defaultRowHeight="12.75" x14ac:dyDescent="0.2"/>
  <cols>
    <col min="1" max="1" width="9.140625" style="150"/>
    <col min="2" max="2" width="32.140625" style="74" customWidth="1"/>
    <col min="3" max="3" width="38.140625" style="74" bestFit="1" customWidth="1"/>
    <col min="4" max="4" width="16.28515625" style="74" customWidth="1"/>
    <col min="5" max="5" width="14" style="74" customWidth="1"/>
    <col min="6" max="6" width="5.140625" style="104" customWidth="1"/>
    <col min="7" max="7" width="72.7109375" style="74" customWidth="1"/>
    <col min="8" max="8" width="14.28515625" style="74" customWidth="1"/>
    <col min="9" max="9" width="19.5703125" style="74" customWidth="1"/>
    <col min="10" max="10" width="14.28515625" style="74" customWidth="1"/>
    <col min="11" max="16384" width="9.140625" style="74"/>
  </cols>
  <sheetData>
    <row r="1" spans="1:11" s="155" customFormat="1" ht="20.25" x14ac:dyDescent="0.3">
      <c r="A1" s="176"/>
      <c r="B1" s="154" t="s">
        <v>234</v>
      </c>
      <c r="C1" s="154"/>
      <c r="D1" s="154" t="s">
        <v>235</v>
      </c>
      <c r="E1" s="154"/>
      <c r="F1" s="179"/>
      <c r="G1" s="154"/>
      <c r="H1" s="154"/>
      <c r="I1" s="154"/>
      <c r="J1" s="154"/>
    </row>
    <row r="2" spans="1:11" s="102" customFormat="1" ht="15.75" x14ac:dyDescent="0.25">
      <c r="A2" s="177"/>
      <c r="D2" s="101" t="s">
        <v>236</v>
      </c>
      <c r="E2" s="101"/>
      <c r="F2" s="180"/>
      <c r="G2" s="101"/>
      <c r="H2" s="101"/>
      <c r="I2" s="101"/>
      <c r="J2" s="101"/>
    </row>
    <row r="3" spans="1:11" s="109" customFormat="1" ht="15.75" x14ac:dyDescent="0.25">
      <c r="A3" s="178"/>
      <c r="D3" s="109" t="s">
        <v>237</v>
      </c>
      <c r="F3" s="178"/>
      <c r="H3" s="109" t="s">
        <v>238</v>
      </c>
    </row>
    <row r="4" spans="1:11" s="109" customFormat="1" ht="15.75" x14ac:dyDescent="0.25">
      <c r="A4" s="178"/>
      <c r="F4" s="178"/>
    </row>
    <row r="5" spans="1:11" x14ac:dyDescent="0.2">
      <c r="D5" s="152" t="s">
        <v>239</v>
      </c>
      <c r="E5" s="153"/>
      <c r="H5" s="152" t="s">
        <v>240</v>
      </c>
      <c r="I5" s="153"/>
      <c r="J5" s="152"/>
      <c r="K5" s="185"/>
    </row>
    <row r="6" spans="1:11" s="73" customFormat="1" x14ac:dyDescent="0.2">
      <c r="A6" s="150">
        <v>1</v>
      </c>
      <c r="B6" s="73" t="s">
        <v>241</v>
      </c>
      <c r="C6" s="103" t="s">
        <v>242</v>
      </c>
      <c r="D6" s="147" t="s">
        <v>443</v>
      </c>
      <c r="F6" s="150">
        <v>6</v>
      </c>
      <c r="G6" s="73" t="s">
        <v>243</v>
      </c>
      <c r="H6" s="74"/>
    </row>
    <row r="7" spans="1:11" x14ac:dyDescent="0.2">
      <c r="C7" s="103" t="s">
        <v>244</v>
      </c>
      <c r="D7" s="143">
        <v>45551</v>
      </c>
      <c r="E7" s="110">
        <f>D7+364</f>
        <v>45915</v>
      </c>
      <c r="G7" s="74" t="s">
        <v>245</v>
      </c>
      <c r="H7" s="142">
        <v>26000</v>
      </c>
      <c r="I7" s="111"/>
      <c r="J7" s="112">
        <f>H7</f>
        <v>26000</v>
      </c>
    </row>
    <row r="8" spans="1:11" x14ac:dyDescent="0.2">
      <c r="C8" s="103" t="s">
        <v>246</v>
      </c>
      <c r="D8" s="143">
        <v>45444</v>
      </c>
      <c r="H8" s="113"/>
      <c r="I8" s="111"/>
      <c r="J8" s="111"/>
    </row>
    <row r="9" spans="1:11" s="73" customFormat="1" x14ac:dyDescent="0.2">
      <c r="A9" s="150"/>
      <c r="B9" s="73" t="s">
        <v>247</v>
      </c>
      <c r="D9" s="105"/>
      <c r="F9" s="150">
        <v>7</v>
      </c>
      <c r="G9" s="73" t="s">
        <v>248</v>
      </c>
      <c r="H9" s="152" t="s">
        <v>249</v>
      </c>
      <c r="I9" s="153"/>
      <c r="J9" s="152"/>
    </row>
    <row r="10" spans="1:11" s="73" customFormat="1" x14ac:dyDescent="0.2">
      <c r="A10" s="150"/>
      <c r="B10" s="74" t="s">
        <v>250</v>
      </c>
      <c r="D10" s="143">
        <v>45551</v>
      </c>
      <c r="E10" s="115" t="s">
        <v>251</v>
      </c>
      <c r="F10" s="150"/>
      <c r="G10" s="74" t="s">
        <v>252</v>
      </c>
      <c r="H10" s="192">
        <v>270</v>
      </c>
      <c r="I10" s="116"/>
      <c r="J10" s="114"/>
    </row>
    <row r="11" spans="1:11" s="73" customFormat="1" x14ac:dyDescent="0.2">
      <c r="A11" s="150"/>
      <c r="B11" s="74" t="s">
        <v>253</v>
      </c>
      <c r="D11" s="143">
        <v>45845</v>
      </c>
      <c r="E11" s="117">
        <f>ROUND(((MAX(D11:D12)-D10)/7),0)</f>
        <v>42</v>
      </c>
      <c r="F11" s="150"/>
      <c r="G11" s="74" t="s">
        <v>254</v>
      </c>
      <c r="H11" s="192">
        <v>350</v>
      </c>
      <c r="I11" s="112">
        <v>320</v>
      </c>
      <c r="J11" s="118" t="s">
        <v>255</v>
      </c>
    </row>
    <row r="12" spans="1:11" s="73" customFormat="1" x14ac:dyDescent="0.2">
      <c r="A12" s="150"/>
      <c r="B12" s="106" t="s">
        <v>256</v>
      </c>
      <c r="C12" s="74" t="s">
        <v>257</v>
      </c>
      <c r="D12" s="143">
        <v>45838</v>
      </c>
      <c r="E12" s="115" t="s">
        <v>258</v>
      </c>
      <c r="F12" s="150"/>
      <c r="G12" s="74" t="s">
        <v>259</v>
      </c>
      <c r="H12" s="192">
        <v>25</v>
      </c>
      <c r="I12" s="114"/>
      <c r="J12" s="114"/>
    </row>
    <row r="13" spans="1:11" s="103" customFormat="1" x14ac:dyDescent="0.2">
      <c r="A13" s="150"/>
      <c r="D13" s="76"/>
      <c r="E13" s="115">
        <v>52</v>
      </c>
      <c r="F13" s="150"/>
      <c r="G13" s="74" t="s">
        <v>260</v>
      </c>
      <c r="H13" s="192">
        <v>45</v>
      </c>
      <c r="I13" s="112">
        <f>SUM(H12:H13)</f>
        <v>70</v>
      </c>
      <c r="J13" s="118" t="s">
        <v>261</v>
      </c>
    </row>
    <row r="14" spans="1:11" x14ac:dyDescent="0.2">
      <c r="A14" s="150">
        <v>2</v>
      </c>
      <c r="B14" s="73" t="s">
        <v>262</v>
      </c>
      <c r="C14" s="103"/>
      <c r="D14" s="105"/>
      <c r="G14" s="74" t="s">
        <v>263</v>
      </c>
      <c r="H14" s="192">
        <v>15</v>
      </c>
      <c r="I14" s="111"/>
      <c r="J14" s="111"/>
    </row>
    <row r="15" spans="1:11" x14ac:dyDescent="0.2">
      <c r="B15" s="73" t="s">
        <v>264</v>
      </c>
      <c r="D15" s="105"/>
      <c r="G15" s="74" t="s">
        <v>265</v>
      </c>
      <c r="H15" s="192">
        <v>45</v>
      </c>
      <c r="I15" s="111"/>
      <c r="J15" s="111"/>
    </row>
    <row r="16" spans="1:11" x14ac:dyDescent="0.2">
      <c r="B16" s="103" t="s">
        <v>266</v>
      </c>
      <c r="D16" s="105"/>
      <c r="G16" s="74" t="s">
        <v>267</v>
      </c>
      <c r="H16" s="192">
        <v>100</v>
      </c>
      <c r="I16" s="112">
        <f>SUM(H14:H16)</f>
        <v>160</v>
      </c>
      <c r="J16" s="112">
        <f>(SUM(I11:I16))*E13</f>
        <v>28600</v>
      </c>
    </row>
    <row r="17" spans="1:11" x14ac:dyDescent="0.2">
      <c r="B17" s="103" t="s">
        <v>268</v>
      </c>
      <c r="D17" s="152" t="s">
        <v>269</v>
      </c>
      <c r="E17" s="153"/>
      <c r="H17" s="105"/>
      <c r="I17" s="111"/>
      <c r="J17" s="111"/>
    </row>
    <row r="18" spans="1:11" x14ac:dyDescent="0.2">
      <c r="B18" s="74" t="s">
        <v>270</v>
      </c>
      <c r="D18" s="143">
        <v>45572</v>
      </c>
      <c r="E18" s="110">
        <f>D19-1</f>
        <v>45697</v>
      </c>
      <c r="F18" s="104">
        <v>8</v>
      </c>
      <c r="G18" s="73" t="s">
        <v>271</v>
      </c>
      <c r="H18" s="105"/>
      <c r="I18" s="111"/>
      <c r="J18" s="111"/>
    </row>
    <row r="19" spans="1:11" x14ac:dyDescent="0.2">
      <c r="B19" s="74" t="s">
        <v>272</v>
      </c>
      <c r="D19" s="143">
        <v>45698</v>
      </c>
      <c r="E19" s="110">
        <f>IF((D20&gt;0),(D20-1),(MAX(D10:D11)))</f>
        <v>45823</v>
      </c>
      <c r="G19" s="400" t="s">
        <v>444</v>
      </c>
      <c r="H19" s="192">
        <v>776</v>
      </c>
      <c r="I19" s="111"/>
      <c r="J19" s="111"/>
    </row>
    <row r="20" spans="1:11" x14ac:dyDescent="0.2">
      <c r="B20" s="74" t="s">
        <v>274</v>
      </c>
      <c r="D20" s="143">
        <v>45824</v>
      </c>
      <c r="E20" s="110">
        <f>IF((D21&gt;0),(D21-1),(MAX(D11:D12)))</f>
        <v>45845</v>
      </c>
      <c r="G20" s="74" t="s">
        <v>273</v>
      </c>
      <c r="H20" s="192">
        <v>2800</v>
      </c>
      <c r="I20" s="112">
        <f>H20*2+H19</f>
        <v>6376</v>
      </c>
      <c r="J20" s="261" t="s">
        <v>445</v>
      </c>
    </row>
    <row r="21" spans="1:11" x14ac:dyDescent="0.2">
      <c r="B21" s="74" t="s">
        <v>276</v>
      </c>
      <c r="D21" s="143"/>
      <c r="E21" s="110">
        <f>IF((D22&gt;0),(D22-1),(MAX(D11:D12)))</f>
        <v>45845</v>
      </c>
      <c r="G21" s="74" t="s">
        <v>275</v>
      </c>
      <c r="H21" s="192">
        <v>550</v>
      </c>
      <c r="I21" s="262"/>
      <c r="J21" s="263"/>
    </row>
    <row r="22" spans="1:11" x14ac:dyDescent="0.2">
      <c r="E22" s="110">
        <f>E18</f>
        <v>45697</v>
      </c>
      <c r="F22" s="181" t="s">
        <v>278</v>
      </c>
      <c r="G22" s="74" t="s">
        <v>277</v>
      </c>
      <c r="H22" s="192">
        <v>600</v>
      </c>
      <c r="I22" s="262"/>
      <c r="J22" s="263"/>
    </row>
    <row r="23" spans="1:11" x14ac:dyDescent="0.2">
      <c r="A23" s="150">
        <v>3</v>
      </c>
      <c r="B23" s="73" t="s">
        <v>280</v>
      </c>
      <c r="D23" s="105"/>
      <c r="E23" s="110">
        <f>IF((D20&gt;1),(D20-1),E7)</f>
        <v>45823</v>
      </c>
      <c r="F23" s="181" t="s">
        <v>281</v>
      </c>
      <c r="G23" s="400" t="s">
        <v>446</v>
      </c>
      <c r="H23" s="192">
        <v>490</v>
      </c>
      <c r="I23" s="112">
        <f>SUM(H21:H23)</f>
        <v>1640</v>
      </c>
      <c r="J23" s="263" t="s">
        <v>279</v>
      </c>
    </row>
    <row r="24" spans="1:11" x14ac:dyDescent="0.2">
      <c r="C24" s="103" t="s">
        <v>283</v>
      </c>
      <c r="D24" s="105"/>
      <c r="E24" s="110">
        <f>IF((D21&gt;1),(D21-1),E7)</f>
        <v>45915</v>
      </c>
      <c r="F24" s="181" t="s">
        <v>284</v>
      </c>
      <c r="G24" s="144" t="s">
        <v>282</v>
      </c>
      <c r="H24" s="192">
        <v>0</v>
      </c>
      <c r="I24" s="262"/>
      <c r="J24" s="263"/>
    </row>
    <row r="25" spans="1:11" x14ac:dyDescent="0.2">
      <c r="C25" s="103" t="s">
        <v>285</v>
      </c>
      <c r="D25" s="105"/>
      <c r="E25" s="110">
        <f>IF((D22&gt;1),(D22-1),E7)</f>
        <v>45915</v>
      </c>
      <c r="F25" s="181" t="s">
        <v>286</v>
      </c>
      <c r="G25" s="144" t="s">
        <v>287</v>
      </c>
      <c r="H25" s="192">
        <v>0</v>
      </c>
      <c r="I25" s="262"/>
      <c r="J25" s="263"/>
    </row>
    <row r="26" spans="1:11" x14ac:dyDescent="0.2">
      <c r="C26" s="107" t="s">
        <v>289</v>
      </c>
      <c r="D26" s="145" t="s">
        <v>290</v>
      </c>
      <c r="G26" s="144"/>
      <c r="H26" s="192">
        <v>0</v>
      </c>
      <c r="I26" s="112">
        <f>SUM(H24:H26)</f>
        <v>0</v>
      </c>
      <c r="J26" s="261" t="s">
        <v>288</v>
      </c>
    </row>
    <row r="27" spans="1:11" x14ac:dyDescent="0.2">
      <c r="C27" s="107" t="s">
        <v>291</v>
      </c>
      <c r="D27" s="145"/>
    </row>
    <row r="28" spans="1:11" x14ac:dyDescent="0.2">
      <c r="C28" s="107" t="s">
        <v>292</v>
      </c>
      <c r="D28" s="145"/>
    </row>
    <row r="29" spans="1:11" x14ac:dyDescent="0.2">
      <c r="C29" s="107" t="s">
        <v>295</v>
      </c>
      <c r="D29" s="145"/>
      <c r="F29" s="104">
        <v>9</v>
      </c>
      <c r="G29" s="73" t="s">
        <v>293</v>
      </c>
      <c r="H29" s="73"/>
      <c r="I29" s="152" t="s">
        <v>294</v>
      </c>
      <c r="J29" s="153"/>
      <c r="K29" s="185"/>
    </row>
    <row r="30" spans="1:11" x14ac:dyDescent="0.2">
      <c r="C30" s="107" t="s">
        <v>299</v>
      </c>
      <c r="D30" s="145"/>
      <c r="G30" s="103" t="s">
        <v>296</v>
      </c>
      <c r="H30" s="103" t="s">
        <v>297</v>
      </c>
      <c r="I30" s="184">
        <v>45444</v>
      </c>
      <c r="J30" s="74" t="s">
        <v>298</v>
      </c>
    </row>
    <row r="31" spans="1:11" x14ac:dyDescent="0.2">
      <c r="C31" s="107" t="s">
        <v>301</v>
      </c>
      <c r="D31" s="145"/>
      <c r="G31" s="103" t="s">
        <v>300</v>
      </c>
      <c r="H31" s="103" t="s">
        <v>297</v>
      </c>
      <c r="I31" s="184">
        <v>45658</v>
      </c>
    </row>
    <row r="32" spans="1:11" x14ac:dyDescent="0.2">
      <c r="C32" s="107" t="s">
        <v>305</v>
      </c>
      <c r="D32" s="145"/>
      <c r="G32" s="103" t="s">
        <v>302</v>
      </c>
      <c r="H32" s="73" t="s">
        <v>303</v>
      </c>
      <c r="I32" s="150" t="s">
        <v>110</v>
      </c>
      <c r="J32" s="150" t="s">
        <v>304</v>
      </c>
    </row>
    <row r="33" spans="1:11" x14ac:dyDescent="0.2">
      <c r="C33" s="107" t="s">
        <v>308</v>
      </c>
      <c r="D33" s="145"/>
      <c r="G33" s="103" t="s">
        <v>306</v>
      </c>
      <c r="H33" s="74" t="s">
        <v>307</v>
      </c>
      <c r="I33" s="151">
        <v>1.21</v>
      </c>
      <c r="J33" s="151">
        <v>0</v>
      </c>
    </row>
    <row r="34" spans="1:11" x14ac:dyDescent="0.2">
      <c r="H34" s="74" t="s">
        <v>309</v>
      </c>
      <c r="I34" s="151">
        <v>1.27</v>
      </c>
      <c r="J34" s="151">
        <v>0</v>
      </c>
    </row>
    <row r="35" spans="1:11" x14ac:dyDescent="0.2">
      <c r="A35" s="150">
        <v>4</v>
      </c>
      <c r="B35" s="73" t="s">
        <v>311</v>
      </c>
      <c r="H35" s="74" t="s">
        <v>310</v>
      </c>
      <c r="I35" s="151">
        <v>1.24</v>
      </c>
      <c r="J35" s="151">
        <v>0</v>
      </c>
    </row>
    <row r="36" spans="1:11" x14ac:dyDescent="0.2">
      <c r="B36" s="103" t="s">
        <v>313</v>
      </c>
      <c r="D36" s="152" t="s">
        <v>314</v>
      </c>
      <c r="E36" s="152"/>
      <c r="F36" s="182"/>
      <c r="H36" s="74" t="s">
        <v>312</v>
      </c>
      <c r="I36" s="151">
        <v>1.25</v>
      </c>
      <c r="J36" s="151">
        <v>0</v>
      </c>
      <c r="K36" s="73"/>
    </row>
    <row r="37" spans="1:11" x14ac:dyDescent="0.2">
      <c r="B37" s="103" t="s">
        <v>316</v>
      </c>
      <c r="C37" s="103" t="s">
        <v>155</v>
      </c>
      <c r="D37" s="148" t="s">
        <v>317</v>
      </c>
      <c r="E37" s="148" t="s">
        <v>318</v>
      </c>
      <c r="H37" s="74" t="s">
        <v>315</v>
      </c>
      <c r="I37" s="151">
        <v>1.28</v>
      </c>
      <c r="J37" s="151">
        <v>0</v>
      </c>
      <c r="K37" s="103"/>
    </row>
    <row r="38" spans="1:11" s="73" customFormat="1" x14ac:dyDescent="0.2">
      <c r="A38" s="150"/>
      <c r="B38" s="103"/>
      <c r="C38" s="74" t="s">
        <v>320</v>
      </c>
      <c r="D38" s="145">
        <v>1.0569999999999999</v>
      </c>
      <c r="E38" s="145">
        <v>0</v>
      </c>
      <c r="F38" s="150"/>
      <c r="G38" s="74"/>
      <c r="H38" s="74" t="s">
        <v>319</v>
      </c>
      <c r="I38" s="151">
        <v>0</v>
      </c>
      <c r="J38" s="151"/>
      <c r="K38" s="74"/>
    </row>
    <row r="39" spans="1:11" s="103" customFormat="1" x14ac:dyDescent="0.2">
      <c r="A39" s="150"/>
      <c r="C39" s="74" t="s">
        <v>322</v>
      </c>
      <c r="D39" s="145">
        <v>1.0569999999999999</v>
      </c>
      <c r="E39" s="145">
        <v>0</v>
      </c>
      <c r="F39" s="150"/>
      <c r="G39" s="74"/>
      <c r="H39" s="74" t="s">
        <v>321</v>
      </c>
      <c r="I39" s="151"/>
      <c r="J39" s="151"/>
      <c r="K39" s="74"/>
    </row>
    <row r="40" spans="1:11" x14ac:dyDescent="0.2">
      <c r="B40" s="103"/>
      <c r="C40" s="74" t="s">
        <v>324</v>
      </c>
      <c r="D40" s="145">
        <v>4.2279999999999998</v>
      </c>
      <c r="E40" s="145">
        <v>0</v>
      </c>
      <c r="H40" s="74" t="s">
        <v>323</v>
      </c>
      <c r="I40" s="151"/>
      <c r="J40" s="151"/>
    </row>
    <row r="41" spans="1:11" x14ac:dyDescent="0.2">
      <c r="C41" s="115" t="s">
        <v>326</v>
      </c>
      <c r="D41" s="149">
        <f>MAX(D38:D40)</f>
        <v>4.2279999999999998</v>
      </c>
      <c r="E41" s="106"/>
      <c r="G41" s="71"/>
      <c r="H41" s="74" t="s">
        <v>325</v>
      </c>
      <c r="I41" s="151"/>
      <c r="J41" s="151"/>
    </row>
    <row r="42" spans="1:11" x14ac:dyDescent="0.2">
      <c r="G42" s="388"/>
      <c r="H42" s="74" t="s">
        <v>327</v>
      </c>
      <c r="I42" s="151"/>
      <c r="J42" s="151"/>
    </row>
    <row r="43" spans="1:11" x14ac:dyDescent="0.2">
      <c r="A43" s="150">
        <v>5</v>
      </c>
      <c r="B43" s="73" t="s">
        <v>329</v>
      </c>
      <c r="G43" s="388"/>
      <c r="H43" s="115" t="s">
        <v>328</v>
      </c>
      <c r="I43" s="149">
        <f>MAX(I33:I42)</f>
        <v>1.28</v>
      </c>
      <c r="J43" s="149">
        <v>0.2</v>
      </c>
    </row>
    <row r="44" spans="1:11" ht="13.5" thickBot="1" x14ac:dyDescent="0.25">
      <c r="B44" s="103" t="s">
        <v>330</v>
      </c>
      <c r="G44" s="388"/>
      <c r="H44" s="119"/>
      <c r="I44" s="119"/>
      <c r="J44" s="119"/>
    </row>
    <row r="45" spans="1:11" ht="13.5" thickBot="1" x14ac:dyDescent="0.25">
      <c r="B45" s="103"/>
      <c r="D45" s="152" t="s">
        <v>332</v>
      </c>
      <c r="E45" s="152"/>
      <c r="F45" s="182"/>
      <c r="G45" s="115" t="s">
        <v>331</v>
      </c>
      <c r="H45" s="115">
        <f>IF((I45&gt;0),I45,(ROUND((I43+(I43*(J43/100))),2)))</f>
        <v>1.3</v>
      </c>
      <c r="I45" s="215">
        <v>1.3</v>
      </c>
    </row>
    <row r="46" spans="1:11" ht="25.5" x14ac:dyDescent="0.2">
      <c r="B46" s="120" t="s">
        <v>60</v>
      </c>
      <c r="C46" s="120" t="s">
        <v>333</v>
      </c>
      <c r="D46" s="120" t="s">
        <v>334</v>
      </c>
      <c r="E46" s="120" t="s">
        <v>335</v>
      </c>
      <c r="I46" s="103"/>
      <c r="J46" s="103"/>
    </row>
    <row r="47" spans="1:11" x14ac:dyDescent="0.2">
      <c r="B47" s="106" t="s">
        <v>337</v>
      </c>
      <c r="C47" s="146">
        <v>3500</v>
      </c>
      <c r="D47" s="146">
        <v>2000</v>
      </c>
      <c r="E47" s="146">
        <v>6000</v>
      </c>
      <c r="G47" s="115" t="s">
        <v>336</v>
      </c>
      <c r="H47" s="121">
        <f>ROUND(((SUM(J7:J26))*H45),0)</f>
        <v>70980</v>
      </c>
    </row>
    <row r="48" spans="1:11" x14ac:dyDescent="0.2">
      <c r="B48" s="106" t="s">
        <v>339</v>
      </c>
      <c r="C48" s="146">
        <v>4500</v>
      </c>
      <c r="D48" s="146">
        <v>2000</v>
      </c>
      <c r="E48" s="146">
        <v>6000</v>
      </c>
      <c r="G48" s="115" t="s">
        <v>338</v>
      </c>
      <c r="H48" s="122">
        <f>ROUND((H47*0.1),0)</f>
        <v>7098</v>
      </c>
    </row>
    <row r="49" spans="1:11" x14ac:dyDescent="0.2">
      <c r="B49" s="106" t="s">
        <v>340</v>
      </c>
      <c r="C49" s="146">
        <v>5500</v>
      </c>
      <c r="D49" s="146">
        <v>2000</v>
      </c>
      <c r="E49" s="146">
        <v>7000</v>
      </c>
      <c r="G49" s="115"/>
      <c r="H49" s="121">
        <f>SUM(H47:H48)</f>
        <v>78078</v>
      </c>
    </row>
    <row r="50" spans="1:11" x14ac:dyDescent="0.2">
      <c r="B50" s="106" t="s">
        <v>342</v>
      </c>
      <c r="C50" s="146">
        <v>5500</v>
      </c>
      <c r="D50" s="146">
        <v>2000</v>
      </c>
      <c r="E50" s="146">
        <v>7000</v>
      </c>
      <c r="G50" s="115" t="s">
        <v>341</v>
      </c>
      <c r="H50" s="115">
        <f>H49/100*D41</f>
        <v>3301.1378399999999</v>
      </c>
    </row>
    <row r="51" spans="1:11" ht="13.5" thickBot="1" x14ac:dyDescent="0.25">
      <c r="B51" s="106" t="s">
        <v>68</v>
      </c>
      <c r="C51" s="146">
        <v>0</v>
      </c>
      <c r="D51" s="146">
        <v>0</v>
      </c>
      <c r="E51" s="146">
        <v>20500</v>
      </c>
      <c r="G51" s="115" t="s">
        <v>343</v>
      </c>
      <c r="H51" s="123">
        <f>SUM(H49:H50)</f>
        <v>81379.137839999996</v>
      </c>
    </row>
    <row r="52" spans="1:11" ht="13.5" thickTop="1" x14ac:dyDescent="0.2">
      <c r="E52" s="108"/>
    </row>
    <row r="54" spans="1:11" s="73" customFormat="1" x14ac:dyDescent="0.2">
      <c r="A54" s="150">
        <v>10</v>
      </c>
      <c r="B54" s="73" t="s">
        <v>344</v>
      </c>
      <c r="F54" s="150"/>
      <c r="G54" s="74"/>
      <c r="H54" s="74"/>
      <c r="I54" s="74"/>
      <c r="J54" s="74"/>
      <c r="K54" s="74"/>
    </row>
    <row r="55" spans="1:11" x14ac:dyDescent="0.2">
      <c r="C55" s="74" t="s">
        <v>61</v>
      </c>
      <c r="D55" s="74" t="s">
        <v>64</v>
      </c>
      <c r="E55" s="74" t="s">
        <v>345</v>
      </c>
      <c r="G55" s="73"/>
      <c r="H55" s="73"/>
      <c r="I55" s="73"/>
      <c r="J55" s="73"/>
      <c r="K55" s="73"/>
    </row>
    <row r="56" spans="1:11" x14ac:dyDescent="0.2">
      <c r="B56" s="74" t="s">
        <v>346</v>
      </c>
      <c r="C56" s="186">
        <f>D10</f>
        <v>45551</v>
      </c>
      <c r="D56" s="186">
        <f>E7</f>
        <v>45915</v>
      </c>
      <c r="E56" s="74">
        <f>ROUND(((D56-C56)/7),0)</f>
        <v>52</v>
      </c>
    </row>
    <row r="57" spans="1:11" x14ac:dyDescent="0.2">
      <c r="B57" s="74" t="s">
        <v>347</v>
      </c>
      <c r="C57" s="186">
        <f>C56</f>
        <v>45551</v>
      </c>
      <c r="D57" s="186">
        <f>D11</f>
        <v>45845</v>
      </c>
      <c r="E57" s="74">
        <f>ROUND(((D57-C57)/7),0)</f>
        <v>42</v>
      </c>
    </row>
    <row r="59" spans="1:11" x14ac:dyDescent="0.2">
      <c r="A59" s="150">
        <v>11</v>
      </c>
      <c r="B59" s="74" t="s">
        <v>348</v>
      </c>
      <c r="C59" s="74" t="s">
        <v>349</v>
      </c>
      <c r="D59" s="74" t="s">
        <v>350</v>
      </c>
    </row>
    <row r="60" spans="1:11" x14ac:dyDescent="0.2">
      <c r="B60" s="74" t="s">
        <v>351</v>
      </c>
      <c r="C60" s="74" t="s">
        <v>352</v>
      </c>
      <c r="D60" s="74" t="s">
        <v>353</v>
      </c>
    </row>
    <row r="61" spans="1:11" x14ac:dyDescent="0.2">
      <c r="B61" s="74" t="s">
        <v>354</v>
      </c>
      <c r="C61" s="74" t="s">
        <v>355</v>
      </c>
      <c r="D61" s="74" t="s">
        <v>353</v>
      </c>
    </row>
    <row r="62" spans="1:11" x14ac:dyDescent="0.2">
      <c r="B62" s="74" t="s">
        <v>346</v>
      </c>
      <c r="C62" s="74" t="s">
        <v>356</v>
      </c>
      <c r="D62" s="74" t="s">
        <v>357</v>
      </c>
    </row>
  </sheetData>
  <sheetProtection selectLockedCells="1"/>
  <phoneticPr fontId="5" type="noConversion"/>
  <pageMargins left="0.75" right="0.75" top="1" bottom="1" header="0.5" footer="0.5"/>
  <pageSetup paperSize="9" scale="5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G66"/>
  <sheetViews>
    <sheetView topLeftCell="A15" workbookViewId="0">
      <selection activeCell="B45" sqref="B45"/>
    </sheetView>
  </sheetViews>
  <sheetFormatPr defaultRowHeight="12.75" x14ac:dyDescent="0.2"/>
  <cols>
    <col min="1" max="1" width="29.28515625" style="74" customWidth="1"/>
    <col min="2" max="2" width="30.42578125" style="74" customWidth="1"/>
    <col min="3" max="3" width="23.7109375" customWidth="1"/>
  </cols>
  <sheetData>
    <row r="1" spans="1:7" ht="15.75" x14ac:dyDescent="0.25">
      <c r="A1" s="82" t="str">
        <f>'Cost of Attendance'!C15&amp;" "&amp;'Cost of Attendance'!C14</f>
        <v>forename - first name(s) surname - family name</v>
      </c>
      <c r="B1" s="35"/>
      <c r="C1" s="32"/>
      <c r="D1" s="32"/>
      <c r="E1" s="32"/>
      <c r="F1" s="32"/>
      <c r="G1" s="32"/>
    </row>
    <row r="2" spans="1:7" ht="15.75" x14ac:dyDescent="0.25">
      <c r="A2" s="83" t="str">
        <f>'Cost of Attendance'!C16</f>
        <v>door number and road</v>
      </c>
      <c r="B2" s="35"/>
      <c r="C2" s="32"/>
      <c r="D2" s="32"/>
      <c r="E2" s="32"/>
      <c r="F2" s="32"/>
      <c r="G2" s="32"/>
    </row>
    <row r="3" spans="1:7" ht="15.75" x14ac:dyDescent="0.25">
      <c r="A3" s="83" t="str">
        <f>'Cost of Attendance'!C17</f>
        <v>town/city</v>
      </c>
      <c r="B3" s="35"/>
      <c r="C3" s="32"/>
      <c r="D3" s="32"/>
      <c r="E3" s="32"/>
      <c r="F3" s="32"/>
      <c r="G3" s="32"/>
    </row>
    <row r="4" spans="1:7" ht="15.75" x14ac:dyDescent="0.25">
      <c r="A4" s="83" t="str">
        <f>'Cost of Attendance'!C18</f>
        <v>county/state</v>
      </c>
      <c r="B4" s="35"/>
      <c r="C4" s="32"/>
      <c r="D4" s="32"/>
      <c r="E4" s="32"/>
      <c r="F4" s="32"/>
      <c r="G4" s="32"/>
    </row>
    <row r="5" spans="1:7" ht="15.75" x14ac:dyDescent="0.25">
      <c r="A5" s="83" t="str">
        <f>'Cost of Attendance'!C19</f>
        <v>country</v>
      </c>
      <c r="B5" s="35"/>
      <c r="C5" s="32"/>
      <c r="D5" s="32"/>
      <c r="E5" s="32"/>
      <c r="F5" s="32"/>
      <c r="G5" s="32"/>
    </row>
    <row r="6" spans="1:7" ht="15.75" x14ac:dyDescent="0.25">
      <c r="A6" s="83" t="str">
        <f>'Cost of Attendance'!C20</f>
        <v>postcode/zipcode</v>
      </c>
      <c r="B6" s="35"/>
      <c r="C6" s="32"/>
      <c r="D6" s="32"/>
      <c r="E6" s="32"/>
      <c r="F6" s="32"/>
      <c r="G6" s="32"/>
    </row>
    <row r="7" spans="1:7" x14ac:dyDescent="0.2">
      <c r="A7" s="84"/>
      <c r="B7" s="35"/>
      <c r="C7" s="32"/>
      <c r="D7" s="32"/>
      <c r="E7" s="32"/>
      <c r="F7" s="32"/>
      <c r="G7" s="32"/>
    </row>
    <row r="8" spans="1:7" x14ac:dyDescent="0.2">
      <c r="A8" s="85"/>
      <c r="B8" s="35"/>
      <c r="C8" s="32"/>
      <c r="D8" s="32"/>
      <c r="E8" s="32"/>
      <c r="F8" s="32"/>
      <c r="G8" s="32"/>
    </row>
    <row r="9" spans="1:7" x14ac:dyDescent="0.2">
      <c r="B9" s="35"/>
      <c r="C9" s="32"/>
      <c r="D9" s="32"/>
      <c r="E9" s="32"/>
      <c r="F9" s="32"/>
      <c r="G9" s="32"/>
    </row>
    <row r="10" spans="1:7" x14ac:dyDescent="0.2">
      <c r="A10" s="35"/>
      <c r="B10" s="35"/>
      <c r="C10" s="32"/>
      <c r="D10" s="32"/>
      <c r="E10" s="32"/>
      <c r="F10" s="32"/>
      <c r="G10" s="32"/>
    </row>
    <row r="11" spans="1:7" ht="22.5" x14ac:dyDescent="0.3">
      <c r="A11" s="34" t="s">
        <v>358</v>
      </c>
      <c r="B11" s="35"/>
      <c r="C11" s="32"/>
      <c r="D11" s="32"/>
      <c r="E11" s="32"/>
      <c r="F11" s="32"/>
      <c r="G11" s="32"/>
    </row>
    <row r="12" spans="1:7" ht="22.5" x14ac:dyDescent="0.3">
      <c r="A12" s="57" t="str">
        <f>'Cost of Attendance'!C4</f>
        <v>for Academic Year 2024/25</v>
      </c>
      <c r="B12" s="35"/>
      <c r="C12" s="32"/>
      <c r="D12" s="32"/>
      <c r="E12" s="32"/>
      <c r="F12" s="32"/>
      <c r="G12" s="32"/>
    </row>
    <row r="13" spans="1:7" x14ac:dyDescent="0.2">
      <c r="A13" s="35"/>
      <c r="B13" s="35"/>
      <c r="C13" s="32"/>
      <c r="D13" s="32"/>
      <c r="E13" s="32"/>
      <c r="F13" s="32"/>
      <c r="G13" s="32"/>
    </row>
    <row r="14" spans="1:7" x14ac:dyDescent="0.2">
      <c r="A14" s="35"/>
      <c r="B14" s="35"/>
      <c r="C14" s="32"/>
      <c r="D14" s="32"/>
      <c r="E14" s="32"/>
      <c r="F14" s="32"/>
      <c r="G14" s="32"/>
    </row>
    <row r="15" spans="1:7" ht="18.75" x14ac:dyDescent="0.3">
      <c r="A15" s="36" t="s">
        <v>359</v>
      </c>
      <c r="B15" s="35"/>
      <c r="C15" s="32"/>
      <c r="D15" s="32"/>
      <c r="E15" s="32"/>
      <c r="F15" s="32"/>
      <c r="G15" s="32"/>
    </row>
    <row r="16" spans="1:7" x14ac:dyDescent="0.2">
      <c r="A16" s="35"/>
      <c r="B16" s="35"/>
      <c r="C16" s="32"/>
      <c r="D16" s="32"/>
      <c r="E16" s="32"/>
      <c r="F16" s="32"/>
      <c r="G16" s="32"/>
    </row>
    <row r="17" spans="1:7" s="38" customFormat="1" ht="15.75" x14ac:dyDescent="0.25">
      <c r="A17" s="37" t="s">
        <v>360</v>
      </c>
      <c r="B17" s="86" t="str">
        <f>'Cost of Attendance'!C15&amp;" "&amp;'Cost of Attendance'!C14</f>
        <v>forename - first name(s) surname - family name</v>
      </c>
      <c r="C17" s="41"/>
      <c r="D17" s="41"/>
      <c r="E17" s="41"/>
      <c r="F17" s="41"/>
      <c r="G17" s="41"/>
    </row>
    <row r="18" spans="1:7" s="38" customFormat="1" ht="15.75" x14ac:dyDescent="0.25">
      <c r="A18" s="37" t="s">
        <v>361</v>
      </c>
      <c r="B18" s="87">
        <f>'Cost of Attendance'!C22</f>
        <v>19358</v>
      </c>
      <c r="C18" s="41"/>
      <c r="D18" s="41"/>
      <c r="E18" s="41"/>
      <c r="F18" s="41"/>
      <c r="G18" s="41"/>
    </row>
    <row r="19" spans="1:7" s="38" customFormat="1" ht="15.75" x14ac:dyDescent="0.25">
      <c r="A19" s="37" t="s">
        <v>362</v>
      </c>
      <c r="B19" s="88" t="str">
        <f>'Cost of Attendance'!C24</f>
        <v>4000000</v>
      </c>
      <c r="C19" s="41"/>
      <c r="D19" s="41"/>
      <c r="E19" s="41"/>
      <c r="F19" s="41"/>
      <c r="G19" s="41"/>
    </row>
    <row r="20" spans="1:7" x14ac:dyDescent="0.2">
      <c r="A20" s="35"/>
      <c r="B20" s="35"/>
      <c r="C20" s="32"/>
      <c r="D20" s="32"/>
      <c r="E20" s="32"/>
      <c r="F20" s="32"/>
      <c r="G20" s="32"/>
    </row>
    <row r="21" spans="1:7" s="1" customFormat="1" ht="15.75" x14ac:dyDescent="0.25">
      <c r="A21" s="53" t="s">
        <v>363</v>
      </c>
      <c r="B21" s="53"/>
      <c r="C21" s="54"/>
      <c r="D21" s="54"/>
      <c r="E21" s="54"/>
      <c r="F21" s="54"/>
      <c r="G21" s="54"/>
    </row>
    <row r="22" spans="1:7" s="1" customFormat="1" ht="15.75" x14ac:dyDescent="0.25">
      <c r="A22" s="53"/>
      <c r="B22" s="53"/>
      <c r="C22" s="54"/>
      <c r="D22" s="54"/>
      <c r="E22" s="54"/>
      <c r="F22" s="54"/>
      <c r="G22" s="54"/>
    </row>
    <row r="23" spans="1:7" s="1" customFormat="1" ht="15.75" x14ac:dyDescent="0.25">
      <c r="A23" s="53" t="s">
        <v>364</v>
      </c>
      <c r="B23" s="53"/>
      <c r="C23" s="54"/>
      <c r="D23" s="54"/>
      <c r="E23" s="54"/>
      <c r="F23" s="54"/>
      <c r="G23" s="54"/>
    </row>
    <row r="24" spans="1:7" s="1" customFormat="1" ht="15.75" x14ac:dyDescent="0.25">
      <c r="A24" s="53" t="s">
        <v>365</v>
      </c>
      <c r="B24" s="53"/>
      <c r="C24" s="54"/>
      <c r="D24" s="54"/>
      <c r="E24" s="54"/>
      <c r="F24" s="54"/>
      <c r="G24" s="54"/>
    </row>
    <row r="25" spans="1:7" s="1" customFormat="1" ht="15.75" x14ac:dyDescent="0.25">
      <c r="A25" s="53" t="s">
        <v>366</v>
      </c>
      <c r="B25" s="53"/>
      <c r="C25" s="54"/>
      <c r="D25" s="54"/>
      <c r="E25" s="54"/>
      <c r="F25" s="54"/>
      <c r="G25" s="54"/>
    </row>
    <row r="26" spans="1:7" s="55" customFormat="1" ht="15.75" x14ac:dyDescent="0.25">
      <c r="A26" s="53" t="s">
        <v>367</v>
      </c>
      <c r="B26" s="53"/>
      <c r="C26" s="53"/>
      <c r="D26" s="53"/>
      <c r="E26" s="53"/>
      <c r="F26" s="53"/>
      <c r="G26" s="53"/>
    </row>
    <row r="27" spans="1:7" s="1" customFormat="1" ht="15.75" x14ac:dyDescent="0.25">
      <c r="A27" s="53"/>
      <c r="B27" s="53"/>
      <c r="C27" s="54"/>
      <c r="D27" s="54"/>
      <c r="E27" s="54"/>
      <c r="F27" s="54"/>
      <c r="G27" s="54"/>
    </row>
    <row r="28" spans="1:7" s="1" customFormat="1" ht="15.75" x14ac:dyDescent="0.25">
      <c r="A28" s="53" t="s">
        <v>368</v>
      </c>
      <c r="B28" s="53"/>
      <c r="C28" s="54"/>
      <c r="D28" s="54"/>
      <c r="E28" s="54"/>
      <c r="F28" s="54"/>
      <c r="G28" s="54"/>
    </row>
    <row r="29" spans="1:7" s="47" customFormat="1" ht="15.75" x14ac:dyDescent="0.25">
      <c r="A29" s="89" t="s">
        <v>452</v>
      </c>
      <c r="B29" s="87">
        <f>IF(('Cost of Attendance'!D34="n"),'Cost of Attendance'!J15,'Cost of Attendance'!J13)</f>
        <v>45551</v>
      </c>
      <c r="C29" s="46"/>
      <c r="D29" s="46"/>
      <c r="E29" s="46"/>
      <c r="F29" s="46"/>
      <c r="G29" s="46"/>
    </row>
    <row r="30" spans="1:7" s="47" customFormat="1" ht="15.75" x14ac:dyDescent="0.25">
      <c r="A30" s="89" t="s">
        <v>453</v>
      </c>
      <c r="B30" s="87">
        <f>IF(('Cost of Attendance'!D34="n"),'Cost of Attendance'!J16,'Cost of Attendance'!J14)</f>
        <v>45845</v>
      </c>
      <c r="C30" s="46"/>
      <c r="D30" s="46"/>
      <c r="E30" s="46"/>
      <c r="F30" s="46"/>
      <c r="G30" s="46"/>
    </row>
    <row r="31" spans="1:7" ht="15.75" customHeight="1" x14ac:dyDescent="0.2">
      <c r="A31" s="35"/>
      <c r="B31" s="35"/>
      <c r="C31" s="32"/>
      <c r="D31" s="32"/>
      <c r="E31" s="32"/>
      <c r="F31" s="32"/>
      <c r="G31" s="32"/>
    </row>
    <row r="32" spans="1:7" ht="15.75" customHeight="1" x14ac:dyDescent="0.25">
      <c r="A32" s="53" t="s">
        <v>369</v>
      </c>
      <c r="B32" s="35"/>
      <c r="C32" s="32"/>
      <c r="D32" s="32"/>
      <c r="E32" s="32"/>
      <c r="F32" s="32"/>
      <c r="G32" s="32"/>
    </row>
    <row r="33" spans="1:7" s="55" customFormat="1" ht="15.75" customHeight="1" x14ac:dyDescent="0.25">
      <c r="A33" s="55" t="s">
        <v>370</v>
      </c>
      <c r="B33" s="53"/>
      <c r="C33" s="53"/>
      <c r="D33" s="53"/>
      <c r="E33" s="53"/>
      <c r="F33" s="53"/>
      <c r="G33" s="53"/>
    </row>
    <row r="34" spans="1:7" s="38" customFormat="1" ht="15.75" customHeight="1" x14ac:dyDescent="0.25">
      <c r="A34" s="37" t="s">
        <v>155</v>
      </c>
      <c r="B34" s="291" t="s">
        <v>371</v>
      </c>
      <c r="C34" s="285" t="s">
        <v>372</v>
      </c>
      <c r="D34" s="41"/>
      <c r="E34" s="41"/>
      <c r="F34" s="41"/>
      <c r="G34" s="41"/>
    </row>
    <row r="35" spans="1:7" s="38" customFormat="1" ht="15.75" customHeight="1" x14ac:dyDescent="0.25">
      <c r="A35" s="37" t="s">
        <v>373</v>
      </c>
      <c r="B35" s="292">
        <f>'Cost of Attendance'!D82</f>
        <v>3500</v>
      </c>
      <c r="C35" s="286" t="s">
        <v>374</v>
      </c>
      <c r="D35" s="41"/>
      <c r="E35" s="41"/>
      <c r="F35" s="41"/>
      <c r="G35" s="41"/>
    </row>
    <row r="36" spans="1:7" s="38" customFormat="1" ht="15.75" customHeight="1" x14ac:dyDescent="0.25">
      <c r="A36" s="37" t="s">
        <v>375</v>
      </c>
      <c r="B36" s="187">
        <f>'Cost of Attendance'!D83</f>
        <v>2000</v>
      </c>
      <c r="C36" s="389"/>
      <c r="D36" s="41"/>
      <c r="E36" s="41"/>
      <c r="F36" s="41"/>
      <c r="G36" s="41"/>
    </row>
    <row r="37" spans="1:7" s="38" customFormat="1" ht="15.75" customHeight="1" x14ac:dyDescent="0.25">
      <c r="A37" s="37" t="s">
        <v>376</v>
      </c>
      <c r="B37" s="187">
        <f>'Cost of Attendance'!D85</f>
        <v>33419</v>
      </c>
      <c r="C37" s="287"/>
      <c r="D37" s="41"/>
      <c r="E37" s="41"/>
      <c r="F37" s="41"/>
      <c r="G37" s="41"/>
    </row>
    <row r="38" spans="1:7" s="38" customFormat="1" ht="15.75" customHeight="1" thickBot="1" x14ac:dyDescent="0.3">
      <c r="A38" s="43" t="s">
        <v>377</v>
      </c>
      <c r="B38" s="187">
        <f>'Cost of Attendance'!D86</f>
        <v>38919</v>
      </c>
      <c r="C38" s="288">
        <f>'Cost of Attendance'!O17</f>
        <v>37448</v>
      </c>
      <c r="D38" s="41"/>
      <c r="E38" s="41"/>
      <c r="F38" s="41"/>
      <c r="G38" s="41"/>
    </row>
    <row r="39" spans="1:7" ht="15.75" customHeight="1" thickTop="1" x14ac:dyDescent="0.2">
      <c r="A39" s="35"/>
      <c r="B39" s="189"/>
      <c r="C39" s="289"/>
      <c r="D39" s="32"/>
      <c r="E39" s="32"/>
      <c r="F39" s="32"/>
      <c r="G39" s="32"/>
    </row>
    <row r="40" spans="1:7" s="1" customFormat="1" ht="15.75" customHeight="1" x14ac:dyDescent="0.25">
      <c r="A40" s="53" t="s">
        <v>378</v>
      </c>
      <c r="B40" s="190"/>
      <c r="C40" s="290" t="s">
        <v>374</v>
      </c>
      <c r="D40" s="54"/>
      <c r="E40" s="54"/>
      <c r="F40" s="54"/>
      <c r="G40" s="54"/>
    </row>
    <row r="41" spans="1:7" s="42" customFormat="1" ht="15.75" customHeight="1" x14ac:dyDescent="0.25">
      <c r="A41" s="87">
        <f>'Cost of Attendance'!M13</f>
        <v>45572</v>
      </c>
      <c r="B41" s="187">
        <f>'Cost of Attendance'!N13</f>
        <v>19460</v>
      </c>
      <c r="C41" s="288">
        <f>'Cost of Attendance'!O13</f>
        <v>18724</v>
      </c>
      <c r="D41" s="41"/>
      <c r="E41" s="41"/>
      <c r="F41" s="41"/>
      <c r="G41" s="41"/>
    </row>
    <row r="42" spans="1:7" s="42" customFormat="1" ht="15.75" customHeight="1" x14ac:dyDescent="0.25">
      <c r="A42" s="87">
        <f>'Cost of Attendance'!M14</f>
        <v>45698</v>
      </c>
      <c r="B42" s="187">
        <f>'Cost of Attendance'!N14</f>
        <v>19460</v>
      </c>
      <c r="C42" s="288">
        <f>'Cost of Attendance'!O14</f>
        <v>18724</v>
      </c>
      <c r="D42" s="41"/>
      <c r="E42" s="41"/>
      <c r="F42" s="41"/>
      <c r="G42" s="41"/>
    </row>
    <row r="43" spans="1:7" s="42" customFormat="1" ht="15.75" customHeight="1" x14ac:dyDescent="0.25">
      <c r="A43" s="87" t="str">
        <f>IF(('Cost of Attendance'!M15&gt;0),'Cost of Attendance'!M15,"")</f>
        <v/>
      </c>
      <c r="B43" s="187">
        <f>'Cost of Attendance'!N15</f>
        <v>0</v>
      </c>
      <c r="C43" s="288">
        <f>'Cost of Attendance'!O15</f>
        <v>0</v>
      </c>
      <c r="D43" s="41"/>
      <c r="E43" s="41"/>
      <c r="F43" s="41"/>
      <c r="G43" s="41"/>
    </row>
    <row r="44" spans="1:7" s="42" customFormat="1" ht="15.75" customHeight="1" x14ac:dyDescent="0.25">
      <c r="A44" s="90"/>
      <c r="B44" s="187" t="str">
        <f>'Cost of Attendance'!N16</f>
        <v/>
      </c>
      <c r="C44" s="288"/>
      <c r="D44" s="41"/>
      <c r="E44" s="41"/>
      <c r="F44" s="41"/>
      <c r="G44" s="41"/>
    </row>
    <row r="45" spans="1:7" s="42" customFormat="1" ht="15.75" customHeight="1" x14ac:dyDescent="0.25">
      <c r="A45" s="188" t="s">
        <v>379</v>
      </c>
      <c r="B45" s="187">
        <f>B38-(SUM(B41:B44))</f>
        <v>-1</v>
      </c>
      <c r="C45" s="288"/>
      <c r="D45" s="41"/>
      <c r="E45" s="41"/>
      <c r="F45" s="41"/>
      <c r="G45" s="41"/>
    </row>
    <row r="46" spans="1:7" s="42" customFormat="1" ht="15.75" customHeight="1" thickBot="1" x14ac:dyDescent="0.3">
      <c r="A46" s="91" t="s">
        <v>377</v>
      </c>
      <c r="B46" s="191">
        <f>SUM(B41:B45)</f>
        <v>38919</v>
      </c>
      <c r="C46" s="288">
        <f>SUM(C41:C45)</f>
        <v>37448</v>
      </c>
      <c r="D46" s="41"/>
      <c r="E46" s="41"/>
      <c r="F46" s="41"/>
      <c r="G46" s="41"/>
    </row>
    <row r="47" spans="1:7" ht="13.5" thickTop="1" x14ac:dyDescent="0.2">
      <c r="A47" s="35"/>
      <c r="B47" s="35"/>
      <c r="C47" s="32"/>
      <c r="D47" s="32"/>
      <c r="E47" s="32"/>
      <c r="F47" s="32"/>
      <c r="G47" s="32"/>
    </row>
    <row r="48" spans="1:7" s="1" customFormat="1" ht="15.75" x14ac:dyDescent="0.25">
      <c r="A48" s="53" t="s">
        <v>380</v>
      </c>
      <c r="B48" s="53"/>
      <c r="C48" s="54"/>
      <c r="D48" s="54"/>
      <c r="E48" s="54"/>
      <c r="F48" s="54"/>
      <c r="G48" s="54"/>
    </row>
    <row r="49" spans="1:7" s="1" customFormat="1" ht="15.75" x14ac:dyDescent="0.25">
      <c r="A49" s="53" t="s">
        <v>381</v>
      </c>
      <c r="B49" s="53"/>
      <c r="C49" s="54"/>
      <c r="D49" s="54"/>
      <c r="E49" s="54"/>
      <c r="F49" s="54"/>
      <c r="G49" s="54"/>
    </row>
    <row r="50" spans="1:7" s="1" customFormat="1" ht="15.75" x14ac:dyDescent="0.25">
      <c r="A50" s="53" t="s">
        <v>382</v>
      </c>
      <c r="B50" s="53"/>
      <c r="C50" s="54"/>
      <c r="D50" s="54"/>
      <c r="E50" s="54"/>
      <c r="F50" s="54"/>
      <c r="G50" s="54"/>
    </row>
    <row r="51" spans="1:7" s="1" customFormat="1" ht="15.75" x14ac:dyDescent="0.25">
      <c r="A51" s="55" t="s">
        <v>383</v>
      </c>
      <c r="B51" s="53"/>
      <c r="C51" s="54"/>
      <c r="D51" s="54"/>
      <c r="E51" s="54"/>
      <c r="F51" s="54"/>
      <c r="G51" s="54"/>
    </row>
    <row r="52" spans="1:7" s="1" customFormat="1" ht="15.75" x14ac:dyDescent="0.25">
      <c r="A52" s="53"/>
      <c r="B52" s="53"/>
      <c r="C52" s="54"/>
      <c r="D52" s="54"/>
      <c r="E52" s="54"/>
      <c r="F52" s="54"/>
      <c r="G52" s="54"/>
    </row>
    <row r="53" spans="1:7" s="1" customFormat="1" ht="15.75" x14ac:dyDescent="0.25">
      <c r="A53" s="53" t="str">
        <f>(IF(('School DATA'!D27&gt;0),'School DATA'!D27,""))&amp;"    "&amp;(IF(('School DATA'!D31&gt;0),'School DATA'!D31,""))</f>
        <v xml:space="preserve">    </v>
      </c>
      <c r="B53" s="53"/>
      <c r="C53" s="54"/>
      <c r="D53" s="54"/>
      <c r="E53" s="54"/>
      <c r="F53" s="54"/>
      <c r="G53" s="54"/>
    </row>
    <row r="54" spans="1:7" s="1" customFormat="1" ht="15.75" x14ac:dyDescent="0.25">
      <c r="A54" s="53"/>
      <c r="B54" s="53"/>
      <c r="C54" s="54"/>
      <c r="D54" s="54"/>
      <c r="E54" s="54"/>
      <c r="F54" s="54"/>
      <c r="G54" s="54"/>
    </row>
    <row r="55" spans="1:7" s="1" customFormat="1" ht="15.75" x14ac:dyDescent="0.25">
      <c r="A55" s="53"/>
      <c r="B55" s="53"/>
      <c r="C55" s="54"/>
      <c r="D55" s="54"/>
      <c r="E55" s="54"/>
      <c r="F55" s="54"/>
      <c r="G55" s="54"/>
    </row>
    <row r="56" spans="1:7" s="1" customFormat="1" ht="15.75" x14ac:dyDescent="0.25">
      <c r="A56" s="55"/>
      <c r="B56" s="55"/>
      <c r="C56" s="54"/>
      <c r="D56" s="54"/>
      <c r="E56" s="54"/>
      <c r="F56" s="54"/>
      <c r="G56" s="54"/>
    </row>
    <row r="57" spans="1:7" s="1" customFormat="1" ht="15.75" x14ac:dyDescent="0.25">
      <c r="A57" s="53" t="s">
        <v>384</v>
      </c>
      <c r="B57" s="53"/>
      <c r="C57" s="54"/>
      <c r="D57" s="54"/>
      <c r="E57" s="54"/>
      <c r="F57" s="54"/>
      <c r="G57" s="54"/>
    </row>
    <row r="58" spans="1:7" s="1" customFormat="1" ht="15.75" x14ac:dyDescent="0.25">
      <c r="A58" s="55"/>
      <c r="B58" s="53"/>
      <c r="C58" s="54"/>
      <c r="D58" s="54"/>
      <c r="E58" s="54"/>
      <c r="F58" s="54"/>
      <c r="G58" s="54"/>
    </row>
    <row r="59" spans="1:7" s="1" customFormat="1" ht="15.75" x14ac:dyDescent="0.25">
      <c r="A59" s="55"/>
      <c r="B59" s="53"/>
      <c r="C59" s="54"/>
      <c r="D59" s="54"/>
      <c r="E59" s="54"/>
      <c r="F59" s="54"/>
      <c r="G59" s="54"/>
    </row>
    <row r="60" spans="1:7" ht="15.75" x14ac:dyDescent="0.25">
      <c r="A60" s="55" t="s">
        <v>385</v>
      </c>
      <c r="B60" s="56">
        <f ca="1">TODAY()</f>
        <v>45447</v>
      </c>
      <c r="C60" s="32"/>
      <c r="D60" s="32"/>
      <c r="E60" s="32"/>
      <c r="F60" s="32"/>
      <c r="G60" s="32"/>
    </row>
    <row r="61" spans="1:7" ht="15.75" x14ac:dyDescent="0.25">
      <c r="A61" s="53"/>
      <c r="B61" s="35"/>
      <c r="C61" s="32"/>
      <c r="D61" s="32"/>
      <c r="E61" s="32"/>
      <c r="F61" s="32"/>
      <c r="G61" s="32"/>
    </row>
    <row r="62" spans="1:7" x14ac:dyDescent="0.2">
      <c r="A62" s="35"/>
      <c r="B62" s="35"/>
      <c r="C62" s="32"/>
      <c r="D62" s="32"/>
      <c r="E62" s="32"/>
      <c r="F62" s="32"/>
      <c r="G62" s="32"/>
    </row>
    <row r="63" spans="1:7" x14ac:dyDescent="0.2">
      <c r="A63" s="35"/>
      <c r="B63" s="35"/>
      <c r="C63" s="32"/>
      <c r="D63" s="32"/>
      <c r="E63" s="32"/>
      <c r="F63" s="32"/>
      <c r="G63" s="32"/>
    </row>
    <row r="64" spans="1:7" x14ac:dyDescent="0.2">
      <c r="C64" s="32"/>
      <c r="D64" s="32"/>
      <c r="E64" s="32"/>
      <c r="F64" s="32"/>
      <c r="G64" s="32"/>
    </row>
    <row r="65" spans="3:7" x14ac:dyDescent="0.2">
      <c r="C65" s="32"/>
      <c r="D65" s="32"/>
      <c r="E65" s="32"/>
      <c r="F65" s="32"/>
      <c r="G65" s="32"/>
    </row>
    <row r="66" spans="3:7" x14ac:dyDescent="0.2">
      <c r="C66" s="32"/>
      <c r="D66" s="32"/>
      <c r="E66" s="32"/>
      <c r="F66" s="32"/>
      <c r="G66" s="32"/>
    </row>
  </sheetData>
  <sheetProtection selectLockedCells="1"/>
  <phoneticPr fontId="5" type="noConversion"/>
  <pageMargins left="0.96" right="0.75" top="2.54" bottom="1" header="0.5" footer="0.5"/>
  <pageSetup paperSize="9" scale="6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58"/>
  <sheetViews>
    <sheetView topLeftCell="A6" zoomScaleNormal="100" workbookViewId="0">
      <selection activeCell="F29" sqref="F29"/>
    </sheetView>
  </sheetViews>
  <sheetFormatPr defaultRowHeight="12.75" x14ac:dyDescent="0.2"/>
  <cols>
    <col min="1" max="1" width="29.28515625" customWidth="1"/>
    <col min="2" max="2" width="61.7109375" customWidth="1"/>
  </cols>
  <sheetData>
    <row r="1" spans="1:7" ht="15.75" x14ac:dyDescent="0.25">
      <c r="A1" s="51" t="str">
        <f>'Cost of Attendance'!C15&amp;" "&amp;'Cost of Attendance'!C14</f>
        <v>forename - first name(s) surname - family name</v>
      </c>
      <c r="B1" s="32"/>
      <c r="C1" s="32"/>
      <c r="D1" s="32"/>
      <c r="E1" s="32"/>
      <c r="F1" s="32"/>
      <c r="G1" s="32"/>
    </row>
    <row r="2" spans="1:7" ht="15.75" x14ac:dyDescent="0.25">
      <c r="A2" s="52" t="str">
        <f>'Cost of Attendance'!C16</f>
        <v>door number and road</v>
      </c>
      <c r="B2" s="32"/>
      <c r="C2" s="32"/>
      <c r="D2" s="32"/>
      <c r="E2" s="32"/>
      <c r="F2" s="32"/>
      <c r="G2" s="32"/>
    </row>
    <row r="3" spans="1:7" ht="15.75" x14ac:dyDescent="0.25">
      <c r="A3" s="52" t="str">
        <f>'Cost of Attendance'!C17</f>
        <v>town/city</v>
      </c>
      <c r="B3" s="32"/>
      <c r="C3" s="32"/>
      <c r="D3" s="32"/>
      <c r="E3" s="32"/>
      <c r="F3" s="32"/>
      <c r="G3" s="32"/>
    </row>
    <row r="4" spans="1:7" ht="15.75" x14ac:dyDescent="0.25">
      <c r="A4" s="52" t="str">
        <f>'Cost of Attendance'!C18</f>
        <v>county/state</v>
      </c>
      <c r="B4" s="32"/>
      <c r="C4" s="32"/>
      <c r="D4" s="32"/>
      <c r="E4" s="32"/>
      <c r="F4" s="32"/>
      <c r="G4" s="32"/>
    </row>
    <row r="5" spans="1:7" ht="15.75" x14ac:dyDescent="0.25">
      <c r="A5" s="52" t="str">
        <f>'Cost of Attendance'!C19</f>
        <v>country</v>
      </c>
      <c r="B5" s="32"/>
      <c r="C5" s="32"/>
      <c r="D5" s="32"/>
      <c r="E5" s="32"/>
      <c r="F5" s="32"/>
      <c r="G5" s="32"/>
    </row>
    <row r="6" spans="1:7" ht="15.75" x14ac:dyDescent="0.25">
      <c r="A6" s="52" t="str">
        <f>'Cost of Attendance'!C20</f>
        <v>postcode/zipcode</v>
      </c>
      <c r="B6" s="32"/>
      <c r="C6" s="32"/>
      <c r="D6" s="32"/>
      <c r="E6" s="32"/>
      <c r="F6" s="32"/>
      <c r="G6" s="32"/>
    </row>
    <row r="7" spans="1:7" x14ac:dyDescent="0.2">
      <c r="A7" s="50"/>
      <c r="B7" s="32"/>
      <c r="C7" s="32"/>
      <c r="D7" s="32"/>
      <c r="E7" s="32"/>
      <c r="F7" s="32"/>
      <c r="G7" s="32"/>
    </row>
    <row r="8" spans="1:7" x14ac:dyDescent="0.2">
      <c r="A8" s="33"/>
      <c r="B8" s="32"/>
      <c r="C8" s="32"/>
      <c r="D8" s="32"/>
      <c r="E8" s="32"/>
      <c r="F8" s="32"/>
      <c r="G8" s="32"/>
    </row>
    <row r="9" spans="1:7" x14ac:dyDescent="0.2">
      <c r="B9" s="32"/>
      <c r="C9" s="32"/>
      <c r="D9" s="32"/>
      <c r="E9" s="32"/>
      <c r="F9" s="32"/>
      <c r="G9" s="32"/>
    </row>
    <row r="10" spans="1:7" x14ac:dyDescent="0.2">
      <c r="A10" s="35"/>
      <c r="B10" s="32"/>
      <c r="C10" s="32"/>
      <c r="D10" s="32"/>
      <c r="E10" s="32"/>
      <c r="F10" s="32"/>
      <c r="G10" s="32"/>
    </row>
    <row r="11" spans="1:7" ht="22.5" x14ac:dyDescent="0.3">
      <c r="A11" s="34" t="s">
        <v>358</v>
      </c>
      <c r="B11" s="32"/>
      <c r="C11" s="32"/>
      <c r="D11" s="32"/>
      <c r="E11" s="32"/>
      <c r="F11" s="32"/>
      <c r="G11" s="32"/>
    </row>
    <row r="12" spans="1:7" ht="22.5" x14ac:dyDescent="0.3">
      <c r="A12" s="57" t="str">
        <f>'Cost of Attendance'!C4</f>
        <v>for Academic Year 2024/25</v>
      </c>
      <c r="B12" s="32"/>
      <c r="C12" s="32"/>
      <c r="D12" s="32"/>
      <c r="E12" s="32"/>
      <c r="F12" s="32"/>
      <c r="G12" s="32"/>
    </row>
    <row r="13" spans="1:7" x14ac:dyDescent="0.2">
      <c r="A13" s="32"/>
      <c r="B13" s="32"/>
      <c r="C13" s="32"/>
      <c r="D13" s="32"/>
      <c r="E13" s="32"/>
      <c r="F13" s="32"/>
      <c r="G13" s="32"/>
    </row>
    <row r="14" spans="1:7" x14ac:dyDescent="0.2">
      <c r="A14" s="32"/>
      <c r="B14" s="32"/>
      <c r="C14" s="32"/>
      <c r="D14" s="32"/>
      <c r="E14" s="32"/>
      <c r="F14" s="32"/>
      <c r="G14" s="32"/>
    </row>
    <row r="15" spans="1:7" ht="18.75" x14ac:dyDescent="0.3">
      <c r="A15" s="36" t="s">
        <v>359</v>
      </c>
      <c r="B15" s="32"/>
      <c r="C15" s="32"/>
      <c r="D15" s="32"/>
      <c r="E15" s="32"/>
      <c r="F15" s="32"/>
      <c r="G15" s="32"/>
    </row>
    <row r="16" spans="1:7" x14ac:dyDescent="0.2">
      <c r="A16" s="32"/>
      <c r="B16" s="32"/>
      <c r="C16" s="32"/>
      <c r="D16" s="32"/>
      <c r="E16" s="32"/>
      <c r="F16" s="32"/>
      <c r="G16" s="32"/>
    </row>
    <row r="17" spans="1:7" s="38" customFormat="1" ht="15.75" x14ac:dyDescent="0.25">
      <c r="A17" s="37" t="s">
        <v>360</v>
      </c>
      <c r="B17" s="397" t="str">
        <f>'Cost of Attendance'!C15&amp;" "&amp;'Cost of Attendance'!C14</f>
        <v>forename - first name(s) surname - family name</v>
      </c>
      <c r="C17" s="41"/>
      <c r="D17" s="41"/>
      <c r="E17" s="41"/>
      <c r="F17" s="41"/>
      <c r="G17" s="41"/>
    </row>
    <row r="18" spans="1:7" s="38" customFormat="1" ht="15.75" x14ac:dyDescent="0.25">
      <c r="A18" s="37" t="s">
        <v>436</v>
      </c>
      <c r="B18" s="398">
        <f>'Cost of Attendance'!C22</f>
        <v>19358</v>
      </c>
      <c r="C18" s="41"/>
      <c r="D18" s="41"/>
      <c r="E18" s="41"/>
      <c r="F18" s="41"/>
      <c r="G18" s="41"/>
    </row>
    <row r="19" spans="1:7" s="38" customFormat="1" ht="15.75" x14ac:dyDescent="0.25">
      <c r="A19" s="37" t="s">
        <v>362</v>
      </c>
      <c r="B19" s="399" t="str">
        <f>'Cost of Attendance'!C24</f>
        <v>4000000</v>
      </c>
      <c r="C19" s="41"/>
      <c r="D19" s="41"/>
      <c r="E19" s="41"/>
      <c r="F19" s="41"/>
      <c r="G19" s="41"/>
    </row>
    <row r="20" spans="1:7" x14ac:dyDescent="0.2">
      <c r="A20" s="32"/>
      <c r="B20" s="32"/>
      <c r="C20" s="32"/>
      <c r="D20" s="32"/>
      <c r="E20" s="32"/>
      <c r="F20" s="32"/>
      <c r="G20" s="32"/>
    </row>
    <row r="21" spans="1:7" s="1" customFormat="1" ht="15.75" x14ac:dyDescent="0.25">
      <c r="A21" s="53" t="s">
        <v>363</v>
      </c>
      <c r="B21" s="54"/>
      <c r="C21" s="54"/>
      <c r="D21" s="54"/>
      <c r="E21" s="54"/>
      <c r="F21" s="54"/>
      <c r="G21" s="54"/>
    </row>
    <row r="22" spans="1:7" s="1" customFormat="1" ht="15.75" x14ac:dyDescent="0.25">
      <c r="A22" s="53"/>
      <c r="B22" s="54"/>
      <c r="C22" s="54"/>
      <c r="D22" s="54"/>
      <c r="E22" s="54"/>
      <c r="F22" s="54"/>
      <c r="G22" s="54"/>
    </row>
    <row r="23" spans="1:7" s="1" customFormat="1" ht="15.75" x14ac:dyDescent="0.25">
      <c r="A23" s="53" t="s">
        <v>437</v>
      </c>
      <c r="B23" s="54"/>
      <c r="C23" s="54"/>
      <c r="D23" s="54"/>
      <c r="E23" s="54"/>
      <c r="F23" s="54"/>
      <c r="G23" s="54"/>
    </row>
    <row r="24" spans="1:7" s="1" customFormat="1" ht="15.75" x14ac:dyDescent="0.25">
      <c r="A24" s="53" t="s">
        <v>438</v>
      </c>
      <c r="B24" s="54"/>
      <c r="C24" s="54"/>
      <c r="D24" s="54"/>
      <c r="E24" s="54"/>
      <c r="F24" s="54"/>
      <c r="G24" s="54"/>
    </row>
    <row r="25" spans="1:7" s="1" customFormat="1" ht="15" x14ac:dyDescent="0.2">
      <c r="A25" s="54"/>
      <c r="B25" s="54"/>
      <c r="C25" s="54"/>
      <c r="D25" s="54"/>
      <c r="E25" s="54"/>
      <c r="F25" s="54"/>
      <c r="G25" s="54"/>
    </row>
    <row r="26" spans="1:7" s="1" customFormat="1" ht="15.75" x14ac:dyDescent="0.25">
      <c r="A26" s="53" t="s">
        <v>439</v>
      </c>
      <c r="B26" s="54"/>
      <c r="C26" s="54"/>
      <c r="D26" s="54"/>
      <c r="E26" s="54"/>
      <c r="F26" s="54"/>
      <c r="G26" s="54"/>
    </row>
    <row r="27" spans="1:7" s="47" customFormat="1" ht="15.75" x14ac:dyDescent="0.25">
      <c r="A27" s="39" t="s">
        <v>452</v>
      </c>
      <c r="B27" s="40">
        <f>IF(('Cost of Attendance'!D34="n"),'Cost of Attendance'!J15,'Cost of Attendance'!J13)</f>
        <v>45551</v>
      </c>
      <c r="C27" s="46"/>
      <c r="D27" s="46"/>
      <c r="E27" s="46"/>
      <c r="F27" s="46"/>
      <c r="G27" s="46"/>
    </row>
    <row r="28" spans="1:7" s="47" customFormat="1" ht="15.75" x14ac:dyDescent="0.25">
      <c r="A28" s="39" t="s">
        <v>452</v>
      </c>
      <c r="B28" s="40">
        <f>IF(('Cost of Attendance'!D34="n"),'Cost of Attendance'!J16,'Cost of Attendance'!J14)</f>
        <v>45845</v>
      </c>
      <c r="C28" s="46"/>
      <c r="D28" s="46"/>
      <c r="E28" s="46"/>
      <c r="F28" s="46"/>
      <c r="G28" s="46"/>
    </row>
    <row r="29" spans="1:7" x14ac:dyDescent="0.2">
      <c r="A29" s="32"/>
      <c r="B29" s="32"/>
      <c r="C29" s="32"/>
      <c r="D29" s="32"/>
      <c r="E29" s="32"/>
      <c r="F29" s="32"/>
      <c r="G29" s="32"/>
    </row>
    <row r="30" spans="1:7" ht="15.75" x14ac:dyDescent="0.25">
      <c r="A30" s="53" t="s">
        <v>440</v>
      </c>
      <c r="B30" s="32"/>
      <c r="C30" s="32"/>
      <c r="D30" s="32"/>
      <c r="E30" s="32"/>
      <c r="F30" s="32"/>
      <c r="G30" s="32"/>
    </row>
    <row r="31" spans="1:7" s="38" customFormat="1" ht="16.5" thickBot="1" x14ac:dyDescent="0.3">
      <c r="A31" s="43" t="s">
        <v>441</v>
      </c>
      <c r="B31" s="44">
        <f>'Cost of Attendance'!E86</f>
        <v>37448</v>
      </c>
      <c r="C31" s="41"/>
      <c r="D31" s="41"/>
      <c r="E31" s="41"/>
      <c r="F31" s="41"/>
      <c r="G31" s="41"/>
    </row>
    <row r="32" spans="1:7" ht="13.5" thickTop="1" x14ac:dyDescent="0.2">
      <c r="A32" s="32"/>
      <c r="B32" s="32"/>
      <c r="C32" s="32"/>
      <c r="D32" s="32"/>
      <c r="E32" s="32"/>
      <c r="F32" s="32"/>
      <c r="G32" s="32"/>
    </row>
    <row r="33" spans="1:7" ht="15.75" x14ac:dyDescent="0.25">
      <c r="A33" s="53" t="s">
        <v>442</v>
      </c>
      <c r="B33" s="32"/>
      <c r="C33" s="32"/>
      <c r="D33" s="32"/>
      <c r="E33" s="32"/>
      <c r="F33" s="32"/>
      <c r="G33" s="32"/>
    </row>
    <row r="34" spans="1:7" s="42" customFormat="1" ht="15.75" x14ac:dyDescent="0.25">
      <c r="A34" s="40">
        <f>'Cost of Attendance'!M13</f>
        <v>45572</v>
      </c>
      <c r="B34" s="44">
        <f>B31</f>
        <v>37448</v>
      </c>
      <c r="C34" s="41"/>
      <c r="D34" s="41"/>
      <c r="E34" s="41"/>
      <c r="F34" s="41"/>
      <c r="G34" s="41"/>
    </row>
    <row r="35" spans="1:7" s="42" customFormat="1" ht="15.75" x14ac:dyDescent="0.25">
      <c r="A35" s="40"/>
      <c r="B35" s="44"/>
      <c r="C35" s="41"/>
      <c r="D35" s="41"/>
      <c r="E35" s="41"/>
      <c r="F35" s="41"/>
      <c r="G35" s="41"/>
    </row>
    <row r="36" spans="1:7" s="42" customFormat="1" ht="15.75" x14ac:dyDescent="0.25">
      <c r="A36" s="40"/>
      <c r="B36" s="44"/>
      <c r="C36" s="41"/>
      <c r="D36" s="41"/>
      <c r="E36" s="41"/>
      <c r="F36" s="41"/>
      <c r="G36" s="41"/>
    </row>
    <row r="37" spans="1:7" s="42" customFormat="1" ht="15.75" x14ac:dyDescent="0.25">
      <c r="A37" s="40"/>
      <c r="B37" s="44"/>
      <c r="C37" s="41"/>
      <c r="D37" s="41"/>
      <c r="E37" s="41"/>
      <c r="F37" s="41"/>
      <c r="G37" s="41"/>
    </row>
    <row r="38" spans="1:7" s="42" customFormat="1" ht="16.5" thickBot="1" x14ac:dyDescent="0.3">
      <c r="A38" s="45" t="s">
        <v>377</v>
      </c>
      <c r="B38" s="44">
        <f>SUM(B34:B37)</f>
        <v>37448</v>
      </c>
      <c r="C38" s="41"/>
      <c r="D38" s="41"/>
      <c r="E38" s="41"/>
      <c r="F38" s="41"/>
      <c r="G38" s="41"/>
    </row>
    <row r="39" spans="1:7" ht="13.5" thickTop="1" x14ac:dyDescent="0.2">
      <c r="A39" s="32"/>
      <c r="B39" s="32"/>
      <c r="C39" s="32"/>
      <c r="D39" s="32"/>
      <c r="E39" s="32"/>
      <c r="F39" s="32"/>
      <c r="G39" s="32"/>
    </row>
    <row r="40" spans="1:7" s="1" customFormat="1" ht="15.75" x14ac:dyDescent="0.25">
      <c r="A40" s="53" t="s">
        <v>380</v>
      </c>
      <c r="B40" s="54"/>
      <c r="C40" s="54"/>
      <c r="D40" s="54"/>
      <c r="E40" s="54"/>
      <c r="F40" s="54"/>
      <c r="G40" s="54"/>
    </row>
    <row r="41" spans="1:7" s="1" customFormat="1" ht="15.75" x14ac:dyDescent="0.25">
      <c r="A41" s="53" t="s">
        <v>381</v>
      </c>
      <c r="B41" s="54"/>
      <c r="C41" s="54"/>
      <c r="D41" s="54"/>
      <c r="E41" s="54"/>
      <c r="F41" s="54"/>
      <c r="G41" s="54"/>
    </row>
    <row r="42" spans="1:7" s="1" customFormat="1" ht="15.75" x14ac:dyDescent="0.25">
      <c r="A42" s="53" t="s">
        <v>382</v>
      </c>
      <c r="B42" s="54"/>
      <c r="C42" s="54"/>
      <c r="D42" s="54"/>
      <c r="E42" s="54"/>
      <c r="F42" s="54"/>
      <c r="G42" s="54"/>
    </row>
    <row r="43" spans="1:7" s="1" customFormat="1" ht="15.75" x14ac:dyDescent="0.25">
      <c r="A43" s="55" t="s">
        <v>383</v>
      </c>
      <c r="B43" s="54"/>
      <c r="C43" s="54"/>
      <c r="D43" s="54"/>
      <c r="E43" s="54"/>
      <c r="F43" s="54"/>
      <c r="G43" s="54"/>
    </row>
    <row r="44" spans="1:7" s="1" customFormat="1" ht="15.75" x14ac:dyDescent="0.25">
      <c r="A44" s="53"/>
      <c r="B44" s="53"/>
      <c r="C44" s="54"/>
      <c r="D44" s="54"/>
      <c r="E44" s="54"/>
      <c r="F44" s="54"/>
      <c r="G44" s="54"/>
    </row>
    <row r="45" spans="1:7" s="1" customFormat="1" ht="15.75" x14ac:dyDescent="0.25">
      <c r="A45" s="53" t="str">
        <f>(IF(('School DATA'!D27&gt;0),'School DATA'!D27,""))&amp;"    "&amp;(IF(('School DATA'!D31&gt;0),'School DATA'!D31,""))</f>
        <v xml:space="preserve">    </v>
      </c>
      <c r="B45" s="53"/>
      <c r="C45" s="54"/>
      <c r="D45" s="54"/>
      <c r="E45" s="54"/>
      <c r="F45" s="54"/>
      <c r="G45" s="54"/>
    </row>
    <row r="46" spans="1:7" s="1" customFormat="1" ht="15.75" x14ac:dyDescent="0.25">
      <c r="A46" s="53"/>
      <c r="B46" s="53"/>
      <c r="C46" s="54"/>
      <c r="D46" s="54"/>
      <c r="E46" s="54"/>
      <c r="F46" s="54"/>
      <c r="G46" s="54"/>
    </row>
    <row r="47" spans="1:7" s="1" customFormat="1" ht="15.75" x14ac:dyDescent="0.25">
      <c r="A47" s="53"/>
      <c r="B47" s="53"/>
      <c r="C47" s="54"/>
      <c r="D47" s="54"/>
      <c r="E47" s="54"/>
      <c r="F47" s="54"/>
      <c r="G47" s="54"/>
    </row>
    <row r="48" spans="1:7" s="1" customFormat="1" ht="15" x14ac:dyDescent="0.2">
      <c r="C48" s="54"/>
      <c r="D48" s="54"/>
      <c r="E48" s="54"/>
      <c r="F48" s="54"/>
      <c r="G48" s="54"/>
    </row>
    <row r="49" spans="1:7" s="1" customFormat="1" ht="15.75" x14ac:dyDescent="0.25">
      <c r="A49" s="53" t="s">
        <v>384</v>
      </c>
      <c r="B49" s="54"/>
      <c r="C49" s="54"/>
      <c r="D49" s="54"/>
      <c r="E49" s="54"/>
      <c r="F49" s="54"/>
      <c r="G49" s="54"/>
    </row>
    <row r="50" spans="1:7" s="1" customFormat="1" ht="15" x14ac:dyDescent="0.2">
      <c r="B50" s="54"/>
      <c r="C50" s="54"/>
      <c r="D50" s="54"/>
      <c r="E50" s="54"/>
      <c r="F50" s="54"/>
      <c r="G50" s="54"/>
    </row>
    <row r="51" spans="1:7" s="1" customFormat="1" ht="15" x14ac:dyDescent="0.2">
      <c r="B51" s="54"/>
      <c r="C51" s="54"/>
      <c r="D51" s="54"/>
      <c r="E51" s="54"/>
      <c r="F51" s="54"/>
      <c r="G51" s="54"/>
    </row>
    <row r="52" spans="1:7" ht="15.75" x14ac:dyDescent="0.25">
      <c r="A52" s="55" t="s">
        <v>385</v>
      </c>
      <c r="B52" s="56">
        <f ca="1">TODAY()</f>
        <v>45447</v>
      </c>
      <c r="C52" s="32"/>
      <c r="D52" s="32"/>
      <c r="E52" s="32"/>
      <c r="F52" s="32"/>
      <c r="G52" s="32"/>
    </row>
    <row r="53" spans="1:7" ht="15.75" x14ac:dyDescent="0.25">
      <c r="A53" s="53"/>
      <c r="B53" s="32"/>
      <c r="C53" s="32"/>
      <c r="D53" s="32"/>
      <c r="E53" s="32"/>
      <c r="F53" s="32"/>
      <c r="G53" s="32"/>
    </row>
    <row r="54" spans="1:7" ht="15.75" x14ac:dyDescent="0.25">
      <c r="A54" s="53"/>
      <c r="B54" s="32"/>
      <c r="C54" s="32"/>
      <c r="D54" s="32"/>
      <c r="E54" s="32"/>
      <c r="F54" s="32"/>
      <c r="G54" s="32"/>
    </row>
    <row r="55" spans="1:7" ht="15.75" x14ac:dyDescent="0.25">
      <c r="A55" s="53"/>
      <c r="B55" s="32"/>
      <c r="C55" s="32"/>
      <c r="D55" s="32"/>
      <c r="E55" s="32"/>
      <c r="F55" s="32"/>
      <c r="G55" s="32"/>
    </row>
    <row r="56" spans="1:7" ht="15.75" x14ac:dyDescent="0.25">
      <c r="A56" s="53"/>
      <c r="B56" s="32"/>
      <c r="C56" s="32"/>
      <c r="D56" s="32"/>
      <c r="E56" s="32"/>
      <c r="F56" s="32"/>
      <c r="G56" s="32"/>
    </row>
    <row r="57" spans="1:7" ht="15.75" x14ac:dyDescent="0.25">
      <c r="A57" s="53"/>
      <c r="B57" s="32"/>
      <c r="C57" s="32"/>
      <c r="D57" s="32"/>
      <c r="E57" s="32"/>
      <c r="F57" s="32"/>
      <c r="G57" s="32"/>
    </row>
    <row r="58" spans="1:7" x14ac:dyDescent="0.2">
      <c r="A58" s="32"/>
      <c r="B58" s="32"/>
      <c r="C58" s="32"/>
      <c r="D58" s="32"/>
      <c r="E58" s="32"/>
      <c r="F58" s="32"/>
      <c r="G58" s="32"/>
    </row>
  </sheetData>
  <sheetProtection selectLockedCells="1"/>
  <phoneticPr fontId="5" type="noConversion"/>
  <pageMargins left="0.94488188976377963" right="0.74803149606299213" top="2.5590551181102366" bottom="0.98425196850393704" header="0.51181102362204722" footer="0.51181102362204722"/>
  <pageSetup paperSize="9" scale="7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B32"/>
  <sheetViews>
    <sheetView topLeftCell="A3" workbookViewId="0">
      <selection activeCell="B7" sqref="B7"/>
    </sheetView>
  </sheetViews>
  <sheetFormatPr defaultRowHeight="12.75" x14ac:dyDescent="0.2"/>
  <cols>
    <col min="1" max="1" width="24.140625" style="66" customWidth="1"/>
    <col min="2" max="2" width="100.140625" style="61" customWidth="1"/>
  </cols>
  <sheetData>
    <row r="1" spans="1:2" s="64" customFormat="1" ht="18" x14ac:dyDescent="0.25">
      <c r="A1" s="65" t="s">
        <v>407</v>
      </c>
      <c r="B1" s="63"/>
    </row>
    <row r="2" spans="1:2" ht="18" x14ac:dyDescent="0.2">
      <c r="A2" s="65"/>
    </row>
    <row r="3" spans="1:2" ht="51" x14ac:dyDescent="0.2">
      <c r="A3" s="66" t="s">
        <v>408</v>
      </c>
      <c r="B3" s="61" t="s">
        <v>409</v>
      </c>
    </row>
    <row r="5" spans="1:2" ht="38.25" x14ac:dyDescent="0.2">
      <c r="A5" s="395" t="s">
        <v>410</v>
      </c>
      <c r="B5" s="61" t="s">
        <v>454</v>
      </c>
    </row>
    <row r="7" spans="1:2" ht="38.25" x14ac:dyDescent="0.2">
      <c r="A7" s="395" t="s">
        <v>411</v>
      </c>
      <c r="B7" s="61" t="s">
        <v>412</v>
      </c>
    </row>
    <row r="9" spans="1:2" ht="25.5" x14ac:dyDescent="0.2">
      <c r="A9" s="395" t="s">
        <v>413</v>
      </c>
      <c r="B9" s="61" t="s">
        <v>414</v>
      </c>
    </row>
    <row r="11" spans="1:2" x14ac:dyDescent="0.2">
      <c r="A11" s="395" t="s">
        <v>143</v>
      </c>
      <c r="B11" s="61" t="s">
        <v>415</v>
      </c>
    </row>
    <row r="13" spans="1:2" x14ac:dyDescent="0.2">
      <c r="A13" s="395" t="s">
        <v>144</v>
      </c>
      <c r="B13" s="61" t="s">
        <v>416</v>
      </c>
    </row>
    <row r="15" spans="1:2" x14ac:dyDescent="0.2">
      <c r="A15" s="66" t="s">
        <v>417</v>
      </c>
      <c r="B15" s="61" t="s">
        <v>418</v>
      </c>
    </row>
    <row r="17" spans="1:2" x14ac:dyDescent="0.2">
      <c r="A17" s="66" t="s">
        <v>419</v>
      </c>
      <c r="B17" s="396" t="s">
        <v>420</v>
      </c>
    </row>
    <row r="19" spans="1:2" x14ac:dyDescent="0.2">
      <c r="A19" s="66" t="s">
        <v>421</v>
      </c>
      <c r="B19" s="61" t="s">
        <v>422</v>
      </c>
    </row>
    <row r="21" spans="1:2" ht="51" x14ac:dyDescent="0.2">
      <c r="A21" s="66" t="s">
        <v>423</v>
      </c>
      <c r="B21" s="61" t="s">
        <v>424</v>
      </c>
    </row>
    <row r="23" spans="1:2" x14ac:dyDescent="0.2">
      <c r="A23" s="66" t="s">
        <v>425</v>
      </c>
      <c r="B23" s="61" t="s">
        <v>426</v>
      </c>
    </row>
    <row r="24" spans="1:2" x14ac:dyDescent="0.2">
      <c r="B24" s="61" t="s">
        <v>427</v>
      </c>
    </row>
    <row r="25" spans="1:2" x14ac:dyDescent="0.2">
      <c r="B25" s="61" t="s">
        <v>428</v>
      </c>
    </row>
    <row r="27" spans="1:2" x14ac:dyDescent="0.2">
      <c r="A27" s="66" t="s">
        <v>429</v>
      </c>
      <c r="B27" s="61" t="s">
        <v>430</v>
      </c>
    </row>
    <row r="28" spans="1:2" x14ac:dyDescent="0.2">
      <c r="B28" s="61" t="s">
        <v>431</v>
      </c>
    </row>
    <row r="29" spans="1:2" x14ac:dyDescent="0.2">
      <c r="B29" s="61" t="s">
        <v>432</v>
      </c>
    </row>
    <row r="31" spans="1:2" x14ac:dyDescent="0.2">
      <c r="A31" s="66" t="s">
        <v>433</v>
      </c>
      <c r="B31" s="61" t="s">
        <v>434</v>
      </c>
    </row>
    <row r="32" spans="1:2" x14ac:dyDescent="0.2">
      <c r="B32" s="62" t="s">
        <v>435</v>
      </c>
    </row>
  </sheetData>
  <sheetProtection selectLockedCells="1"/>
  <phoneticPr fontId="5"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B46E8F50B0554981547E4A2730A6E2" ma:contentTypeVersion="22" ma:contentTypeDescription="Create a new document." ma:contentTypeScope="" ma:versionID="22a46bc1c52ccb56465386be6fd0b795">
  <xsd:schema xmlns:xsd="http://www.w3.org/2001/XMLSchema" xmlns:xs="http://www.w3.org/2001/XMLSchema" xmlns:p="http://schemas.microsoft.com/office/2006/metadata/properties" xmlns:ns2="76682549-58dd-4c18-96a3-2b55dbd86894" xmlns:ns3="4a76c22f-2248-4485-9b3c-5cef685da9cb" targetNamespace="http://schemas.microsoft.com/office/2006/metadata/properties" ma:root="true" ma:fieldsID="29548dd548666c80decdca27b5873143" ns2:_="" ns3:_="">
    <xsd:import namespace="76682549-58dd-4c18-96a3-2b55dbd86894"/>
    <xsd:import namespace="4a76c22f-2248-4485-9b3c-5cef685da9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Addedtospreadsheet" minOccurs="0"/>
                <xsd:element ref="ns2:MediaServiceLocation"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682549-58dd-4c18-96a3-2b55dbd868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Addedtospreadsheet" ma:index="19" nillable="true" ma:displayName="Issue" ma:default="23/24" ma:format="Dropdown" ma:internalName="Addedtospreadsheet">
      <xsd:simpleType>
        <xsd:restriction base="dms:Text">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e0be400-43d2-48fb-b2c5-56d9df8ec3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76c22f-2248-4485-9b3c-5cef685da9c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d7600a3-b065-4857-bf23-19910bf7bbc7}" ma:internalName="TaxCatchAll" ma:showField="CatchAllData" ma:web="4a76c22f-2248-4485-9b3c-5cef685da9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ddedtospreadsheet xmlns="76682549-58dd-4c18-96a3-2b55dbd86894">true</Addedtospreadsheet>
    <TaxCatchAll xmlns="4a76c22f-2248-4485-9b3c-5cef685da9cb" xsi:nil="true"/>
    <lcf76f155ced4ddcb4097134ff3c332f xmlns="76682549-58dd-4c18-96a3-2b55dbd86894">
      <Terms xmlns="http://schemas.microsoft.com/office/infopath/2007/PartnerControls"/>
    </lcf76f155ced4ddcb4097134ff3c332f>
    <SharedWithUsers xmlns="4a76c22f-2248-4485-9b3c-5cef685da9cb">
      <UserInfo>
        <DisplayName/>
        <AccountId xsi:nil="true"/>
        <AccountType/>
      </UserInfo>
    </SharedWithUser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BDEB01-8B5E-400E-A7AC-1EFD33E989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682549-58dd-4c18-96a3-2b55dbd86894"/>
    <ds:schemaRef ds:uri="4a76c22f-2248-4485-9b3c-5cef685da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024C43-18B4-435F-9EFB-179BE8210F6B}">
  <ds:schemaRefs>
    <ds:schemaRef ds:uri="http://schemas.microsoft.com/office/2006/metadata/properties"/>
    <ds:schemaRef ds:uri="http://schemas.microsoft.com/office/infopath/2007/PartnerControls"/>
    <ds:schemaRef ds:uri="76682549-58dd-4c18-96a3-2b55dbd86894"/>
    <ds:schemaRef ds:uri="4a76c22f-2248-4485-9b3c-5cef685da9cb"/>
  </ds:schemaRefs>
</ds:datastoreItem>
</file>

<file path=customXml/itemProps3.xml><?xml version="1.0" encoding="utf-8"?>
<ds:datastoreItem xmlns:ds="http://schemas.openxmlformats.org/officeDocument/2006/customXml" ds:itemID="{72B98E91-CBFE-43FC-8420-2AE363E8FFF2}">
  <ds:schemaRefs>
    <ds:schemaRef ds:uri="http://schemas.microsoft.com/office/2006/metadata/longProperties"/>
  </ds:schemaRefs>
</ds:datastoreItem>
</file>

<file path=customXml/itemProps4.xml><?xml version="1.0" encoding="utf-8"?>
<ds:datastoreItem xmlns:ds="http://schemas.openxmlformats.org/officeDocument/2006/customXml" ds:itemID="{A42BA506-D989-4FF5-B535-9398A4BFFB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Introduction</vt:lpstr>
      <vt:lpstr>Cost of Attendance</vt:lpstr>
      <vt:lpstr>Checklist</vt:lpstr>
      <vt:lpstr>School DATA</vt:lpstr>
      <vt:lpstr>Visa Letter</vt:lpstr>
      <vt:lpstr>Private Loan Letter</vt:lpstr>
      <vt:lpstr>Basis of Costs</vt:lpstr>
      <vt:lpstr>'Cost of Attendance'!Print_Area</vt:lpstr>
      <vt:lpstr>'Visa Letter'!Print_Area</vt:lpstr>
    </vt:vector>
  </TitlesOfParts>
  <Manager/>
  <Company>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Henry, Tiyana 8</dc:creator>
  <cp:keywords/>
  <dc:description/>
  <cp:lastModifiedBy>Tiyana Henry</cp:lastModifiedBy>
  <cp:revision/>
  <dcterms:created xsi:type="dcterms:W3CDTF">2009-04-02T10:59:38Z</dcterms:created>
  <dcterms:modified xsi:type="dcterms:W3CDTF">2024-06-04T16:14:19Z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ExtendedDescription">
    <vt:lpwstr/>
  </property>
  <property fmtid="{D5CDD505-2E9C-101B-9397-08002B2CF9AE}" pid="3" name="_CopySource">
    <vt:lpwstr>https://stulsbuac-my.sharepoint.com/personal/henryt8_lsbu_ac_uk/Documents/ZZZ-I-Drive/US Loans Tiyana/Drafts/COA-2021-22 Draft 1.xls</vt:lpwstr>
  </property>
  <property fmtid="{D5CDD505-2E9C-101B-9397-08002B2CF9AE}" pid="4" name="Order">
    <vt:r8>2976100</vt:r8>
  </property>
  <property fmtid="{D5CDD505-2E9C-101B-9397-08002B2CF9AE}" pid="5" name="Addedtospreadsheet">
    <vt:lpwstr>1</vt:lpwstr>
  </property>
  <property fmtid="{D5CDD505-2E9C-101B-9397-08002B2CF9AE}" pid="6" name="TaxCatchAll">
    <vt:lpwstr/>
  </property>
  <property fmtid="{D5CDD505-2E9C-101B-9397-08002B2CF9AE}" pid="7" name="lcf76f155ced4ddcb4097134ff3c332f">
    <vt:lpwstr/>
  </property>
  <property fmtid="{D5CDD505-2E9C-101B-9397-08002B2CF9AE}" pid="8" name="ContentTypeId">
    <vt:lpwstr>0x010100CEB46E8F50B0554981547E4A2730A6E2</vt:lpwstr>
  </property>
  <property fmtid="{D5CDD505-2E9C-101B-9397-08002B2CF9AE}" pid="9" name="ComplianceAssetId">
    <vt:lpwstr/>
  </property>
  <property fmtid="{D5CDD505-2E9C-101B-9397-08002B2CF9AE}" pid="10" name="_activity">
    <vt:lpwstr>{"FileActivityType":"9","FileActivityTimeStamp":"2023-06-06T13:14:26.587Z","FileActivityUsersOnPage":[{"DisplayName":"Henry, Tiyana 8","Id":"henryt8@lsbu.ac.uk"}],"FileActivityNavigationId":null}</vt:lpwstr>
  </property>
  <property fmtid="{D5CDD505-2E9C-101B-9397-08002B2CF9AE}" pid="11" name="TriggerFlowInfo">
    <vt:lpwstr/>
  </property>
  <property fmtid="{D5CDD505-2E9C-101B-9397-08002B2CF9AE}" pid="12" name="MediaServiceImageTags">
    <vt:lpwstr/>
  </property>
</Properties>
</file>